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Save\Academics\cee6400\Fall13\www\"/>
    </mc:Choice>
  </mc:AlternateContent>
  <bookViews>
    <workbookView xWindow="120" yWindow="45" windowWidth="15180" windowHeight="8580" activeTab="3"/>
  </bookViews>
  <sheets>
    <sheet name="SCS Unit Hydrograph" sheetId="2" r:id="rId1"/>
    <sheet name="deconvolution" sheetId="6" r:id="rId2"/>
    <sheet name="Least Squares" sheetId="7" r:id="rId3"/>
    <sheet name="Linear prog" sheetId="8" r:id="rId4"/>
  </sheets>
  <definedNames>
    <definedName name="anscount" hidden="1">4</definedName>
    <definedName name="solver_adj" localSheetId="2" hidden="1">'Least Squares'!$I$6:$I$15</definedName>
    <definedName name="solver_adj" localSheetId="3" hidden="1">'Linear prog'!$I$6:$I$15,'Linear prog'!$N$6:$N$17,'Linear prog'!$O$6:$O$17</definedName>
    <definedName name="solver_cvg" localSheetId="2" hidden="1">0.001</definedName>
    <definedName name="solver_cvg" localSheetId="3" hidden="1">0.01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9000</definedName>
    <definedName name="solver_lhs1" localSheetId="3" hidden="1">'Linear prog'!$G$11</definedName>
    <definedName name="solver_lhs10" localSheetId="3" hidden="1">'Linear prog'!$G$6</definedName>
    <definedName name="solver_lhs11" localSheetId="3" hidden="1">'Linear prog'!$G$7</definedName>
    <definedName name="solver_lhs12" localSheetId="3" hidden="1">'Linear prog'!$G$8</definedName>
    <definedName name="solver_lhs13" localSheetId="3" hidden="1">'Linear prog'!$G$9</definedName>
    <definedName name="solver_lhs2" localSheetId="3" hidden="1">'Linear prog'!$G$12</definedName>
    <definedName name="solver_lhs3" localSheetId="3" hidden="1">'Linear prog'!$G$13</definedName>
    <definedName name="solver_lhs4" localSheetId="3" hidden="1">'Linear prog'!$G$14</definedName>
    <definedName name="solver_lhs5" localSheetId="3" hidden="1">'Linear prog'!$G$15</definedName>
    <definedName name="solver_lhs6" localSheetId="3" hidden="1">'Linear prog'!$G$16</definedName>
    <definedName name="solver_lhs7" localSheetId="3" hidden="1">'Linear prog'!$I$18</definedName>
    <definedName name="solver_lhs8" localSheetId="3" hidden="1">'Linear prog'!$G$17</definedName>
    <definedName name="solver_lhs9" localSheetId="3" hidden="1">'Linear prog'!$G$10</definedName>
    <definedName name="solver_lin" localSheetId="2" hidden="1">2</definedName>
    <definedName name="solver_lin" localSheetId="3" hidden="1">1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2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0</definedName>
    <definedName name="solver_num" localSheetId="3" hidden="1">13</definedName>
    <definedName name="solver_nwt" localSheetId="2" hidden="1">1</definedName>
    <definedName name="solver_nwt" localSheetId="3" hidden="1">1</definedName>
    <definedName name="solver_opt" localSheetId="2" hidden="1">'Least Squares'!$N$19</definedName>
    <definedName name="solver_opt" localSheetId="3" hidden="1">'Linear prog'!$N$19</definedName>
    <definedName name="solver_pre" localSheetId="2" hidden="1">0.000001</definedName>
    <definedName name="solver_pre" localSheetId="3" hidden="1">0.001</definedName>
    <definedName name="solver_rbv" localSheetId="2" hidden="1">1</definedName>
    <definedName name="solver_rbv" localSheetId="3" hidden="1">1</definedName>
    <definedName name="solver_rel1" localSheetId="3" hidden="1">2</definedName>
    <definedName name="solver_rel10" localSheetId="3" hidden="1">2</definedName>
    <definedName name="solver_rel11" localSheetId="3" hidden="1">2</definedName>
    <definedName name="solver_rel12" localSheetId="3" hidden="1">2</definedName>
    <definedName name="solver_rel13" localSheetId="3" hidden="1">2</definedName>
    <definedName name="solver_rel2" localSheetId="3" hidden="1">2</definedName>
    <definedName name="solver_rel3" localSheetId="3" hidden="1">2</definedName>
    <definedName name="solver_rel4" localSheetId="3" hidden="1">2</definedName>
    <definedName name="solver_rel5" localSheetId="3" hidden="1">2</definedName>
    <definedName name="solver_rel6" localSheetId="3" hidden="1">2</definedName>
    <definedName name="solver_rel7" localSheetId="3" hidden="1">2</definedName>
    <definedName name="solver_rel8" localSheetId="3" hidden="1">2</definedName>
    <definedName name="solver_rel9" localSheetId="3" hidden="1">2</definedName>
    <definedName name="solver_rhs1" localSheetId="3" hidden="1">'Linear prog'!$P$11</definedName>
    <definedName name="solver_rhs10" localSheetId="3" hidden="1">'Linear prog'!$P$6</definedName>
    <definedName name="solver_rhs11" localSheetId="3" hidden="1">'Linear prog'!$P$7</definedName>
    <definedName name="solver_rhs12" localSheetId="3" hidden="1">'Linear prog'!$P$8</definedName>
    <definedName name="solver_rhs13" localSheetId="3" hidden="1">'Linear prog'!$P$9</definedName>
    <definedName name="solver_rhs2" localSheetId="3" hidden="1">'Linear prog'!$P$12</definedName>
    <definedName name="solver_rhs3" localSheetId="3" hidden="1">'Linear prog'!$P$13</definedName>
    <definedName name="solver_rhs4" localSheetId="3" hidden="1">'Linear prog'!$P$14</definedName>
    <definedName name="solver_rhs5" localSheetId="3" hidden="1">'Linear prog'!$P$15</definedName>
    <definedName name="solver_rhs6" localSheetId="3" hidden="1">'Linear prog'!$P$16</definedName>
    <definedName name="solver_rhs7" localSheetId="3" hidden="1">'Linear prog'!$I$21</definedName>
    <definedName name="solver_rhs8" localSheetId="3" hidden="1">'Linear prog'!$P$17</definedName>
    <definedName name="solver_rhs9" localSheetId="3" hidden="1">'Linear prog'!$P$10</definedName>
    <definedName name="solver_rlx" localSheetId="2" hidden="1">1</definedName>
    <definedName name="solver_rlx" localSheetId="3" hidden="1">1</definedName>
    <definedName name="solver_rsd" localSheetId="2" hidden="1">0</definedName>
    <definedName name="solver_rsd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I20" i="8" l="1"/>
  <c r="N19" i="8" l="1"/>
  <c r="L9" i="8"/>
  <c r="L10" i="8"/>
  <c r="L11" i="8"/>
  <c r="L12" i="8"/>
  <c r="L13" i="8"/>
  <c r="L14" i="8"/>
  <c r="L15" i="8"/>
  <c r="L16" i="8"/>
  <c r="L17" i="8"/>
  <c r="M17" i="8" s="1"/>
  <c r="P17" i="8" s="1"/>
  <c r="K8" i="8"/>
  <c r="K9" i="8"/>
  <c r="K10" i="8"/>
  <c r="K11" i="8"/>
  <c r="K12" i="8"/>
  <c r="K13" i="8"/>
  <c r="K14" i="8"/>
  <c r="K15" i="8"/>
  <c r="K16" i="8"/>
  <c r="J7" i="8"/>
  <c r="J8" i="8"/>
  <c r="J9" i="8"/>
  <c r="J10" i="8"/>
  <c r="M10" i="8" s="1"/>
  <c r="P10" i="8" s="1"/>
  <c r="J11" i="8"/>
  <c r="J12" i="8"/>
  <c r="J13" i="8"/>
  <c r="J14" i="8"/>
  <c r="J15" i="8"/>
  <c r="G14" i="7"/>
  <c r="G10" i="7"/>
  <c r="G6" i="7"/>
  <c r="G7" i="7"/>
  <c r="G8" i="7"/>
  <c r="G9" i="7"/>
  <c r="G11" i="7"/>
  <c r="G12" i="7"/>
  <c r="G13" i="7"/>
  <c r="G15" i="7"/>
  <c r="G16" i="7"/>
  <c r="G17" i="7"/>
  <c r="G5" i="7"/>
  <c r="L9" i="7"/>
  <c r="L10" i="7"/>
  <c r="L11" i="7"/>
  <c r="L12" i="7"/>
  <c r="L13" i="7"/>
  <c r="L14" i="7"/>
  <c r="L15" i="7"/>
  <c r="L16" i="7"/>
  <c r="L17" i="7"/>
  <c r="M17" i="7" s="1"/>
  <c r="K8" i="7"/>
  <c r="K9" i="7"/>
  <c r="K10" i="7"/>
  <c r="K11" i="7"/>
  <c r="K12" i="7"/>
  <c r="K13" i="7"/>
  <c r="K14" i="7"/>
  <c r="K15" i="7"/>
  <c r="K16" i="7"/>
  <c r="K7" i="7"/>
  <c r="J7" i="7"/>
  <c r="J8" i="7"/>
  <c r="J9" i="7"/>
  <c r="J10" i="7"/>
  <c r="J11" i="7"/>
  <c r="J12" i="7"/>
  <c r="J13" i="7"/>
  <c r="J14" i="7"/>
  <c r="J15" i="7"/>
  <c r="J6" i="7"/>
  <c r="F6" i="6"/>
  <c r="F7" i="6"/>
  <c r="F8" i="6"/>
  <c r="F9" i="6"/>
  <c r="F10" i="6"/>
  <c r="F11" i="6"/>
  <c r="F12" i="6"/>
  <c r="F13" i="6"/>
  <c r="F14" i="6"/>
  <c r="F15" i="6"/>
  <c r="F16" i="6"/>
  <c r="F17" i="6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7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1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32" i="2"/>
  <c r="M13" i="8" l="1"/>
  <c r="P13" i="8" s="1"/>
  <c r="M9" i="8"/>
  <c r="P9" i="8" s="1"/>
  <c r="M15" i="8"/>
  <c r="P15" i="8" s="1"/>
  <c r="M12" i="8"/>
  <c r="P12" i="8" s="1"/>
  <c r="M14" i="8"/>
  <c r="P14" i="8" s="1"/>
  <c r="M11" i="8"/>
  <c r="P11" i="8" s="1"/>
  <c r="M16" i="8"/>
  <c r="P16" i="8" s="1"/>
  <c r="M14" i="7"/>
  <c r="M16" i="7"/>
  <c r="M13" i="7"/>
  <c r="N13" i="7" s="1"/>
  <c r="M12" i="7"/>
  <c r="M10" i="7"/>
  <c r="M9" i="7"/>
  <c r="M7" i="7"/>
  <c r="M15" i="7"/>
  <c r="M11" i="7"/>
  <c r="G6" i="6"/>
  <c r="G7" i="6"/>
  <c r="G8" i="6"/>
  <c r="G9" i="6"/>
  <c r="G10" i="6"/>
  <c r="G11" i="6"/>
  <c r="G12" i="6"/>
  <c r="G15" i="6"/>
  <c r="G16" i="6"/>
  <c r="G17" i="6"/>
  <c r="N17" i="7"/>
  <c r="G13" i="6"/>
  <c r="F5" i="6"/>
  <c r="G5" i="6" s="1"/>
  <c r="H7" i="2"/>
  <c r="G14" i="6"/>
  <c r="D6" i="6"/>
  <c r="D7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M6" i="7"/>
  <c r="L8" i="7"/>
  <c r="M8" i="7" s="1"/>
  <c r="N8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I18" i="8"/>
  <c r="K7" i="8"/>
  <c r="M7" i="8" s="1"/>
  <c r="P7" i="8" s="1"/>
  <c r="L8" i="8"/>
  <c r="M8" i="8" s="1"/>
  <c r="P8" i="8" s="1"/>
  <c r="J6" i="8"/>
  <c r="M6" i="8" s="1"/>
  <c r="P6" i="8" s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B19" i="8"/>
  <c r="D6" i="8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E24" i="2"/>
  <c r="B24" i="2"/>
  <c r="B27" i="2" s="1"/>
  <c r="B28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N7" i="7" l="1"/>
  <c r="N16" i="7"/>
  <c r="N9" i="7"/>
  <c r="N11" i="7"/>
  <c r="N10" i="7"/>
  <c r="N14" i="7"/>
  <c r="N15" i="7"/>
  <c r="N12" i="7"/>
  <c r="I6" i="6"/>
  <c r="L6" i="6" s="1"/>
  <c r="G19" i="8"/>
  <c r="G20" i="8" s="1"/>
  <c r="I21" i="8" s="1"/>
  <c r="N6" i="7"/>
  <c r="K6" i="6" l="1"/>
  <c r="I7" i="6" s="1"/>
  <c r="L7" i="6" s="1"/>
  <c r="N19" i="7"/>
  <c r="K7" i="6" l="1"/>
  <c r="I8" i="6" s="1"/>
  <c r="L8" i="6" s="1"/>
  <c r="K8" i="6" l="1"/>
  <c r="I9" i="6" s="1"/>
  <c r="K9" i="6" s="1"/>
  <c r="I10" i="6" s="1"/>
  <c r="L9" i="6" l="1"/>
  <c r="K10" i="6"/>
  <c r="L10" i="6"/>
  <c r="I11" i="6" l="1"/>
  <c r="L11" i="6" s="1"/>
  <c r="K11" i="6" l="1"/>
  <c r="I12" i="6" s="1"/>
  <c r="K12" i="6" s="1"/>
  <c r="I13" i="6" s="1"/>
  <c r="L12" i="6" l="1"/>
  <c r="K13" i="6"/>
  <c r="L13" i="6"/>
  <c r="I14" i="6" l="1"/>
  <c r="L14" i="6" s="1"/>
  <c r="K14" i="6" l="1"/>
  <c r="I15" i="6" s="1"/>
  <c r="K15" i="6" s="1"/>
  <c r="I16" i="6" s="1"/>
  <c r="L15" i="6" l="1"/>
  <c r="K16" i="6"/>
  <c r="L16" i="6"/>
  <c r="I17" i="6" l="1"/>
  <c r="K17" i="6" s="1"/>
  <c r="L17" i="6" l="1"/>
</calcChain>
</file>

<file path=xl/sharedStrings.xml><?xml version="1.0" encoding="utf-8"?>
<sst xmlns="http://schemas.openxmlformats.org/spreadsheetml/2006/main" count="110" uniqueCount="51">
  <si>
    <t>Excess P</t>
  </si>
  <si>
    <t>(in)</t>
  </si>
  <si>
    <t>Time</t>
  </si>
  <si>
    <t>(hrs)</t>
  </si>
  <si>
    <t>hrs</t>
  </si>
  <si>
    <t>(cfs)</t>
  </si>
  <si>
    <t>DRH1</t>
  </si>
  <si>
    <t>DRH2</t>
  </si>
  <si>
    <t>DRH3</t>
  </si>
  <si>
    <t>Baseflow</t>
  </si>
  <si>
    <t>TSH</t>
  </si>
  <si>
    <t>DRH</t>
  </si>
  <si>
    <t>Vol under UH</t>
  </si>
  <si>
    <t>(ft^3)</t>
  </si>
  <si>
    <t>ft^2</t>
  </si>
  <si>
    <t>Example of how to use a Unit Hydrograph with a multi-period storm</t>
  </si>
  <si>
    <t>DRH (obs)</t>
  </si>
  <si>
    <t>0-0.25</t>
  </si>
  <si>
    <t>0.25-0.5</t>
  </si>
  <si>
    <t>0.5-0.75</t>
  </si>
  <si>
    <t>0.25 hr UH</t>
  </si>
  <si>
    <t>UH is for a specified rainfall excess duration - here 0.25 hrs.   Each storm period needs to be of this length</t>
  </si>
  <si>
    <t>In this case the unit hydrograph is the SCS dimensionless Unit Hydrograph</t>
  </si>
  <si>
    <t>mi^2</t>
  </si>
  <si>
    <t>Noise</t>
  </si>
  <si>
    <t xml:space="preserve">DRH Obs </t>
  </si>
  <si>
    <t>Assumed</t>
  </si>
  <si>
    <t>UH by deconvolution</t>
  </si>
  <si>
    <t>P2Ui</t>
  </si>
  <si>
    <t>P3Ui</t>
  </si>
  <si>
    <t>Estimating the Unit Hydrograph Using Deconvolution</t>
  </si>
  <si>
    <t>Estimating the Unit Hydrograph Using Least Squares</t>
  </si>
  <si>
    <t>P1Ui</t>
  </si>
  <si>
    <t xml:space="preserve">DRH </t>
  </si>
  <si>
    <t>estimate</t>
  </si>
  <si>
    <t>UH estimate</t>
  </si>
  <si>
    <t>Error^2</t>
  </si>
  <si>
    <t>sum</t>
  </si>
  <si>
    <t>Estimating the Unit Hydrograph Using Linear Programming</t>
  </si>
  <si>
    <t>Qhat</t>
  </si>
  <si>
    <t>beta</t>
  </si>
  <si>
    <t>theta</t>
  </si>
  <si>
    <t>Qn</t>
  </si>
  <si>
    <t>Obj</t>
  </si>
  <si>
    <t>Dt</t>
  </si>
  <si>
    <t>s</t>
  </si>
  <si>
    <t>sum/(sum P)</t>
  </si>
  <si>
    <t>area</t>
  </si>
  <si>
    <t>K</t>
  </si>
  <si>
    <t>Inferred Basin Area</t>
  </si>
  <si>
    <t>Vol/(1 inch) = Vol/(1/12)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</si>
</sst>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2" fontId="0" fillId="0" borderId="0" xfId="0" applyNumberFormat="1"/>
    <xf numFmtId="164" fontId="2" fillId="0" borderId="0" xfId="0" applyNumberFormat="1" applyFont="1" applyAlignment="1">
      <alignment horizontal="right"/>
    </xf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2" fillId="0" borderId="0" xfId="0" applyNumberFormat="1" applyFont="1" applyAlignmen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148667224890253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78753448860772"/>
          <c:y val="0.17819172076509618"/>
          <c:w val="0.70417870288403295"/>
          <c:h val="0.601064610341966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'SCS Unit Hydrograph'!$E$5:$E$6</c:f>
              <c:strCache>
                <c:ptCount val="2"/>
                <c:pt idx="0">
                  <c:v>0.25 hr UH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64096"/>
        <c:axId val="202089640"/>
      </c:scatterChart>
      <c:valAx>
        <c:axId val="2020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38554292471237445"/>
              <c:y val="0.86170324668494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089640"/>
        <c:crosses val="autoZero"/>
        <c:crossBetween val="midCat"/>
      </c:valAx>
      <c:valAx>
        <c:axId val="202089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4.8192865589046792E-2"/>
              <c:y val="0.39361753243633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064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Hydrographs for Event</a:t>
            </a:r>
          </a:p>
        </c:rich>
      </c:tx>
      <c:layout>
        <c:manualLayout>
          <c:xMode val="edge"/>
          <c:yMode val="edge"/>
          <c:x val="0.35207559940798244"/>
          <c:y val="3.7634544448028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6250166478387"/>
          <c:y val="0.21505453970302024"/>
          <c:w val="0.6291845312614136"/>
          <c:h val="0.567206348466715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'SCS Unit Hydrograph'!$H$5:$H$6</c:f>
              <c:strCache>
                <c:ptCount val="2"/>
                <c:pt idx="0">
                  <c:v>DRH1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Hydrograph'!$G$7:$G$26</c:f>
              <c:numCache>
                <c:formatCode>General</c:formatCode>
                <c:ptCount val="2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</c:numCache>
            </c:numRef>
          </c:xVal>
          <c:yVal>
            <c:numRef>
              <c:f>'SCS Unit Hydrograph'!$H$7:$H$26</c:f>
              <c:numCache>
                <c:formatCode>0.0</c:formatCode>
                <c:ptCount val="20"/>
                <c:pt idx="0">
                  <c:v>0</c:v>
                </c:pt>
                <c:pt idx="1">
                  <c:v>65.48</c:v>
                </c:pt>
                <c:pt idx="2">
                  <c:v>243.32</c:v>
                </c:pt>
                <c:pt idx="3">
                  <c:v>426.3</c:v>
                </c:pt>
                <c:pt idx="4">
                  <c:v>454.06000000000006</c:v>
                </c:pt>
                <c:pt idx="5">
                  <c:v>355.3</c:v>
                </c:pt>
                <c:pt idx="6">
                  <c:v>240.32</c:v>
                </c:pt>
                <c:pt idx="7">
                  <c:v>163</c:v>
                </c:pt>
                <c:pt idx="8">
                  <c:v>109.38</c:v>
                </c:pt>
                <c:pt idx="9">
                  <c:v>72.84</c:v>
                </c:pt>
                <c:pt idx="10">
                  <c:v>47.760000000000005</c:v>
                </c:pt>
                <c:pt idx="11">
                  <c:v>33.160000000000004</c:v>
                </c:pt>
                <c:pt idx="12">
                  <c:v>23.1</c:v>
                </c:pt>
                <c:pt idx="13">
                  <c:v>15.040000000000001</c:v>
                </c:pt>
                <c:pt idx="14">
                  <c:v>10.4</c:v>
                </c:pt>
                <c:pt idx="15">
                  <c:v>7.06</c:v>
                </c:pt>
                <c:pt idx="16">
                  <c:v>4.74</c:v>
                </c:pt>
                <c:pt idx="17">
                  <c:v>3.327</c:v>
                </c:pt>
                <c:pt idx="18">
                  <c:v>1.9140000000000001</c:v>
                </c:pt>
                <c:pt idx="19">
                  <c:v>1.5640000000000001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'SCS Unit Hydrograph'!$I$5:$I$6</c:f>
              <c:strCache>
                <c:ptCount val="2"/>
                <c:pt idx="0">
                  <c:v>DRH2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Hydrograph'!$G$7:$G$28</c:f>
              <c:numCache>
                <c:formatCode>General</c:formatCode>
                <c:ptCount val="2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</c:numCache>
            </c:numRef>
          </c:xVal>
          <c:yVal>
            <c:numRef>
              <c:f>'SCS Unit Hydrograph'!$I$7:$I$28</c:f>
              <c:numCache>
                <c:formatCode>General</c:formatCode>
                <c:ptCount val="22"/>
                <c:pt idx="2" formatCode="0.0">
                  <c:v>0</c:v>
                </c:pt>
                <c:pt idx="3" formatCode="0.0">
                  <c:v>242.27599999999998</c:v>
                </c:pt>
                <c:pt idx="4" formatCode="0.0">
                  <c:v>900.28399999999988</c:v>
                </c:pt>
                <c:pt idx="5" formatCode="0.0">
                  <c:v>1577.31</c:v>
                </c:pt>
                <c:pt idx="6" formatCode="0.0">
                  <c:v>1680.0220000000002</c:v>
                </c:pt>
                <c:pt idx="7" formatCode="0.0">
                  <c:v>1314.61</c:v>
                </c:pt>
                <c:pt idx="8" formatCode="0.0">
                  <c:v>889.18399999999997</c:v>
                </c:pt>
                <c:pt idx="9" formatCode="0.0">
                  <c:v>603.1</c:v>
                </c:pt>
                <c:pt idx="10" formatCode="0.0">
                  <c:v>404.70599999999996</c:v>
                </c:pt>
                <c:pt idx="11" formatCode="0.0">
                  <c:v>269.50799999999998</c:v>
                </c:pt>
                <c:pt idx="12" formatCode="0.0">
                  <c:v>176.71200000000002</c:v>
                </c:pt>
                <c:pt idx="13" formatCode="0.0">
                  <c:v>122.69200000000001</c:v>
                </c:pt>
                <c:pt idx="14" formatCode="0.0">
                  <c:v>85.47</c:v>
                </c:pt>
                <c:pt idx="15" formatCode="0.0">
                  <c:v>55.648000000000003</c:v>
                </c:pt>
                <c:pt idx="16" formatCode="0.0">
                  <c:v>38.479999999999997</c:v>
                </c:pt>
                <c:pt idx="17" formatCode="0.0">
                  <c:v>26.121999999999996</c:v>
                </c:pt>
                <c:pt idx="18" formatCode="0.0">
                  <c:v>17.538</c:v>
                </c:pt>
                <c:pt idx="19" formatCode="0.0">
                  <c:v>12.309899999999999</c:v>
                </c:pt>
                <c:pt idx="20" formatCode="0.0">
                  <c:v>7.0818000000000003</c:v>
                </c:pt>
                <c:pt idx="21" formatCode="0.0">
                  <c:v>5.7868000000000004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'SCS Unit Hydrograph'!$J$5:$J$6</c:f>
              <c:strCache>
                <c:ptCount val="2"/>
                <c:pt idx="0">
                  <c:v>DRH3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Hydrograph'!$J$7:$J$30</c:f>
              <c:numCache>
                <c:formatCode>General</c:formatCode>
                <c:ptCount val="24"/>
                <c:pt idx="4" formatCode="0.0">
                  <c:v>0</c:v>
                </c:pt>
                <c:pt idx="5" formatCode="0.0">
                  <c:v>58.931999999999995</c:v>
                </c:pt>
                <c:pt idx="6" formatCode="0.0">
                  <c:v>218.98799999999997</c:v>
                </c:pt>
                <c:pt idx="7" formatCode="0.0">
                  <c:v>383.66999999999996</c:v>
                </c:pt>
                <c:pt idx="8" formatCode="0.0">
                  <c:v>408.654</c:v>
                </c:pt>
                <c:pt idx="9" formatCode="0.0">
                  <c:v>319.77</c:v>
                </c:pt>
                <c:pt idx="10" formatCode="0.0">
                  <c:v>216.28799999999998</c:v>
                </c:pt>
                <c:pt idx="11" formatCode="0.0">
                  <c:v>146.69999999999999</c:v>
                </c:pt>
                <c:pt idx="12" formatCode="0.0">
                  <c:v>98.441999999999993</c:v>
                </c:pt>
                <c:pt idx="13" formatCode="0.0">
                  <c:v>65.555999999999997</c:v>
                </c:pt>
                <c:pt idx="14" formatCode="0.0">
                  <c:v>42.984000000000002</c:v>
                </c:pt>
                <c:pt idx="15" formatCode="0.0">
                  <c:v>29.844000000000001</c:v>
                </c:pt>
                <c:pt idx="16" formatCode="0.0">
                  <c:v>20.79</c:v>
                </c:pt>
                <c:pt idx="17" formatCode="0.0">
                  <c:v>13.536</c:v>
                </c:pt>
                <c:pt idx="18" formatCode="0.0">
                  <c:v>9.36</c:v>
                </c:pt>
                <c:pt idx="19" formatCode="0.0">
                  <c:v>6.3539999999999992</c:v>
                </c:pt>
                <c:pt idx="20" formatCode="0.0">
                  <c:v>4.266</c:v>
                </c:pt>
                <c:pt idx="21" formatCode="0.0">
                  <c:v>2.9942999999999995</c:v>
                </c:pt>
                <c:pt idx="22" formatCode="0.0">
                  <c:v>1.7225999999999999</c:v>
                </c:pt>
                <c:pt idx="23" formatCode="0.0">
                  <c:v>1.4076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'SCS Unit Hydrograph'!$L$5:$L$6</c:f>
              <c:strCache>
                <c:ptCount val="2"/>
                <c:pt idx="0">
                  <c:v>Baseflow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Hydrograph'!$L$7:$L$30</c:f>
              <c:numCache>
                <c:formatCode>General</c:formatCode>
                <c:ptCount val="2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'SCS Unit Hydrograph'!$M$5:$M$6</c:f>
              <c:strCache>
                <c:ptCount val="2"/>
                <c:pt idx="0">
                  <c:v>TSH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Hydrograph'!$M$7:$M$30</c:f>
              <c:numCache>
                <c:formatCode>0.0</c:formatCode>
                <c:ptCount val="24"/>
                <c:pt idx="0">
                  <c:v>50</c:v>
                </c:pt>
                <c:pt idx="1">
                  <c:v>115.48</c:v>
                </c:pt>
                <c:pt idx="2">
                  <c:v>293.32</c:v>
                </c:pt>
                <c:pt idx="3">
                  <c:v>718.57600000000002</c:v>
                </c:pt>
                <c:pt idx="4">
                  <c:v>1404.3440000000001</c:v>
                </c:pt>
                <c:pt idx="5">
                  <c:v>2041.5419999999999</c:v>
                </c:pt>
                <c:pt idx="6">
                  <c:v>2189.33</c:v>
                </c:pt>
                <c:pt idx="7">
                  <c:v>1911.2799999999997</c:v>
                </c:pt>
                <c:pt idx="8">
                  <c:v>1457.2179999999998</c:v>
                </c:pt>
                <c:pt idx="9">
                  <c:v>1045.71</c:v>
                </c:pt>
                <c:pt idx="10">
                  <c:v>718.75399999999991</c:v>
                </c:pt>
                <c:pt idx="11">
                  <c:v>499.36799999999999</c:v>
                </c:pt>
                <c:pt idx="12">
                  <c:v>348.25400000000002</c:v>
                </c:pt>
                <c:pt idx="13">
                  <c:v>253.28800000000001</c:v>
                </c:pt>
                <c:pt idx="14">
                  <c:v>188.85400000000001</c:v>
                </c:pt>
                <c:pt idx="15">
                  <c:v>142.55200000000002</c:v>
                </c:pt>
                <c:pt idx="16">
                  <c:v>114.00999999999999</c:v>
                </c:pt>
                <c:pt idx="17">
                  <c:v>92.984999999999999</c:v>
                </c:pt>
                <c:pt idx="18">
                  <c:v>78.811999999999998</c:v>
                </c:pt>
                <c:pt idx="19">
                  <c:v>70.227900000000005</c:v>
                </c:pt>
                <c:pt idx="20">
                  <c:v>62.597799999999999</c:v>
                </c:pt>
                <c:pt idx="21">
                  <c:v>58.781100000000002</c:v>
                </c:pt>
                <c:pt idx="22">
                  <c:v>56.3476</c:v>
                </c:pt>
                <c:pt idx="23">
                  <c:v>51.407600000000002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'SCS Unit Hydrograph'!$K$5:$K$6</c:f>
              <c:strCache>
                <c:ptCount val="2"/>
                <c:pt idx="0">
                  <c:v>DRH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Hydrograph'!$K$7:$K$30</c:f>
              <c:numCache>
                <c:formatCode>0.0</c:formatCode>
                <c:ptCount val="24"/>
                <c:pt idx="0">
                  <c:v>0</c:v>
                </c:pt>
                <c:pt idx="1">
                  <c:v>65.48</c:v>
                </c:pt>
                <c:pt idx="2">
                  <c:v>243.32</c:v>
                </c:pt>
                <c:pt idx="3">
                  <c:v>668.57600000000002</c:v>
                </c:pt>
                <c:pt idx="4">
                  <c:v>1354.3440000000001</c:v>
                </c:pt>
                <c:pt idx="5">
                  <c:v>1991.5419999999999</c:v>
                </c:pt>
                <c:pt idx="6">
                  <c:v>2139.33</c:v>
                </c:pt>
                <c:pt idx="7">
                  <c:v>1861.2799999999997</c:v>
                </c:pt>
                <c:pt idx="8">
                  <c:v>1407.2179999999998</c:v>
                </c:pt>
                <c:pt idx="9">
                  <c:v>995.71</c:v>
                </c:pt>
                <c:pt idx="10">
                  <c:v>668.75399999999991</c:v>
                </c:pt>
                <c:pt idx="11">
                  <c:v>449.36799999999999</c:v>
                </c:pt>
                <c:pt idx="12">
                  <c:v>298.25400000000002</c:v>
                </c:pt>
                <c:pt idx="13">
                  <c:v>203.28800000000001</c:v>
                </c:pt>
                <c:pt idx="14">
                  <c:v>138.85400000000001</c:v>
                </c:pt>
                <c:pt idx="15">
                  <c:v>92.552000000000007</c:v>
                </c:pt>
                <c:pt idx="16">
                  <c:v>64.009999999999991</c:v>
                </c:pt>
                <c:pt idx="17">
                  <c:v>42.984999999999999</c:v>
                </c:pt>
                <c:pt idx="18">
                  <c:v>28.812000000000001</c:v>
                </c:pt>
                <c:pt idx="19">
                  <c:v>20.227899999999998</c:v>
                </c:pt>
                <c:pt idx="20">
                  <c:v>12.597800000000001</c:v>
                </c:pt>
                <c:pt idx="21">
                  <c:v>8.7811000000000003</c:v>
                </c:pt>
                <c:pt idx="22">
                  <c:v>6.3475999999999999</c:v>
                </c:pt>
                <c:pt idx="23">
                  <c:v>1.4076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25864"/>
        <c:axId val="202226248"/>
      </c:scatterChart>
      <c:valAx>
        <c:axId val="202225864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0696190958185052"/>
              <c:y val="0.87634724928980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226248"/>
        <c:crosses val="autoZero"/>
        <c:crossBetween val="midCat"/>
      </c:valAx>
      <c:valAx>
        <c:axId val="202226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Flow(cfs)</a:t>
                </a:r>
              </a:p>
            </c:rich>
          </c:tx>
          <c:layout>
            <c:manualLayout>
              <c:xMode val="edge"/>
              <c:yMode val="edge"/>
              <c:x val="2.5435119348865658E-2"/>
              <c:y val="0.405915443689450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225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21429522733612"/>
          <c:y val="0.31182908256937941"/>
          <c:w val="0.18340059741024181"/>
          <c:h val="0.37365726273399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996306960700671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80380832562992"/>
          <c:y val="0.18085129868696329"/>
          <c:w val="0.68431159799868835"/>
          <c:h val="0.58510714281076337"/>
        </c:manualLayout>
      </c:layout>
      <c:scatterChart>
        <c:scatterStyle val="smoothMarker"/>
        <c:varyColors val="0"/>
        <c:ser>
          <c:idx val="0"/>
          <c:order val="0"/>
          <c:tx>
            <c:v>Deconvoluted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deconvolution!$D$5:$D$17</c:f>
              <c:numCache>
                <c:formatCode>General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xVal>
          <c:yVal>
            <c:numRef>
              <c:f>deconvolution!$I$5:$I$17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1269.1756365170081</c:v>
                </c:pt>
                <c:pt idx="2">
                  <c:v>2181.4550204626935</c:v>
                </c:pt>
                <c:pt idx="3">
                  <c:v>1521.2823856983339</c:v>
                </c:pt>
                <c:pt idx="4">
                  <c:v>-523.49357585841369</c:v>
                </c:pt>
                <c:pt idx="5">
                  <c:v>3941.1760905126571</c:v>
                </c:pt>
                <c:pt idx="6">
                  <c:v>-12546.84451943937</c:v>
                </c:pt>
                <c:pt idx="7">
                  <c:v>43661.072001061533</c:v>
                </c:pt>
                <c:pt idx="8">
                  <c:v>-149953.57652258221</c:v>
                </c:pt>
                <c:pt idx="9">
                  <c:v>515713.25490893022</c:v>
                </c:pt>
                <c:pt idx="10">
                  <c:v>-1773132.0946587767</c:v>
                </c:pt>
                <c:pt idx="11">
                  <c:v>6096513.4778507482</c:v>
                </c:pt>
                <c:pt idx="12">
                  <c:v>-20961280.982854869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02368"/>
        <c:axId val="202408896"/>
      </c:scatterChart>
      <c:valAx>
        <c:axId val="202402368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4990652023118183"/>
              <c:y val="0.85904366876307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408896"/>
        <c:crosses val="autoZero"/>
        <c:crossBetween val="midCat"/>
      </c:valAx>
      <c:valAx>
        <c:axId val="20240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5916907077279243E-2"/>
              <c:y val="0.37766006490512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402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009578734148723"/>
          <c:y val="0.19148961037443171"/>
          <c:w val="0.25084320770583285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969933524439198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176986620222"/>
          <c:y val="0.18085129868696329"/>
          <c:w val="0.68233098363224876"/>
          <c:h val="0.58244756488889637"/>
        </c:manualLayout>
      </c:layout>
      <c:scatterChart>
        <c:scatterStyle val="smoothMarker"/>
        <c:varyColors val="0"/>
        <c:ser>
          <c:idx val="0"/>
          <c:order val="0"/>
          <c:tx>
            <c:v>least squares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'Least Squares'!$D$5:$D$15</c:f>
              <c:numCache>
                <c:formatCode>General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</c:numCache>
            </c:numRef>
          </c:xVal>
          <c:yVal>
            <c:numRef>
              <c:f>'Least Squares'!$I$5:$I$15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1212.3728742738808</c:v>
                </c:pt>
                <c:pt idx="2">
                  <c:v>2294.6230250138706</c:v>
                </c:pt>
                <c:pt idx="3">
                  <c:v>1172.3641095483354</c:v>
                </c:pt>
                <c:pt idx="4">
                  <c:v>552.25139255550812</c:v>
                </c:pt>
                <c:pt idx="5">
                  <c:v>237.13230313448122</c:v>
                </c:pt>
                <c:pt idx="6">
                  <c:v>127.7412634502892</c:v>
                </c:pt>
                <c:pt idx="7">
                  <c:v>42.386418179434528</c:v>
                </c:pt>
                <c:pt idx="8">
                  <c:v>18.689089224892445</c:v>
                </c:pt>
                <c:pt idx="9">
                  <c:v>14.939098211958045</c:v>
                </c:pt>
                <c:pt idx="10">
                  <c:v>-4.8567267105903413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97256"/>
        <c:axId val="202482552"/>
      </c:scatterChart>
      <c:valAx>
        <c:axId val="201097256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4924822338321618"/>
              <c:y val="0.85638409084120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482552"/>
        <c:crosses val="autoZero"/>
        <c:crossBetween val="midCat"/>
      </c:valAx>
      <c:valAx>
        <c:axId val="202482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7593993588553663E-2"/>
              <c:y val="0.3750004869832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1097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699260671345573"/>
          <c:y val="0.18883003245256463"/>
          <c:w val="0.22556396153132202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8041553695707864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44127801361771"/>
          <c:y val="0.18351087660883039"/>
          <c:w val="0.67608503845342194"/>
          <c:h val="0.56914967527956095"/>
        </c:manualLayout>
      </c:layout>
      <c:scatterChart>
        <c:scatterStyle val="smoothMarker"/>
        <c:varyColors val="0"/>
        <c:ser>
          <c:idx val="0"/>
          <c:order val="0"/>
          <c:tx>
            <c:v>least squares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'Linear prog'!$D$5:$D$15</c:f>
              <c:numCache>
                <c:formatCode>General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</c:numCache>
            </c:numRef>
          </c:xVal>
          <c:yVal>
            <c:numRef>
              <c:f>'Linear prog'!$I$5:$I$15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1224.7836421481857</c:v>
                </c:pt>
                <c:pt idx="2">
                  <c:v>2275.3221412426983</c:v>
                </c:pt>
                <c:pt idx="3">
                  <c:v>1196.4934158118269</c:v>
                </c:pt>
                <c:pt idx="4">
                  <c:v>555.4965282240122</c:v>
                </c:pt>
                <c:pt idx="5">
                  <c:v>230.18935907746018</c:v>
                </c:pt>
                <c:pt idx="6">
                  <c:v>125.41988359229865</c:v>
                </c:pt>
                <c:pt idx="7">
                  <c:v>51.320435670917135</c:v>
                </c:pt>
                <c:pt idx="8">
                  <c:v>13.187968597835789</c:v>
                </c:pt>
                <c:pt idx="9">
                  <c:v>25.775779319461517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84904"/>
        <c:axId val="202485296"/>
      </c:scatterChart>
      <c:valAx>
        <c:axId val="202484904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5574534625550978"/>
              <c:y val="0.84574577915374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485296"/>
        <c:crosses val="autoZero"/>
        <c:crossBetween val="midCat"/>
      </c:valAx>
      <c:valAx>
        <c:axId val="20248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4.7081130811519621E-2"/>
              <c:y val="0.3723409090613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2484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32383404085295"/>
          <c:y val="0.19414918829629887"/>
          <c:w val="0.22598942789529422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</xdr:row>
      <xdr:rowOff>91440</xdr:rowOff>
    </xdr:from>
    <xdr:to>
      <xdr:col>2</xdr:col>
      <xdr:colOff>2293620</xdr:colOff>
      <xdr:row>20</xdr:row>
      <xdr:rowOff>205740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33</xdr:row>
      <xdr:rowOff>53340</xdr:rowOff>
    </xdr:from>
    <xdr:to>
      <xdr:col>5</xdr:col>
      <xdr:colOff>76200</xdr:colOff>
      <xdr:row>46</xdr:row>
      <xdr:rowOff>15240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83820</xdr:rowOff>
    </xdr:from>
    <xdr:to>
      <xdr:col>7</xdr:col>
      <xdr:colOff>342900</xdr:colOff>
      <xdr:row>31</xdr:row>
      <xdr:rowOff>76200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83820</xdr:rowOff>
    </xdr:from>
    <xdr:to>
      <xdr:col>7</xdr:col>
      <xdr:colOff>342900</xdr:colOff>
      <xdr:row>31</xdr:row>
      <xdr:rowOff>76200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83820</xdr:rowOff>
    </xdr:from>
    <xdr:to>
      <xdr:col>6</xdr:col>
      <xdr:colOff>647700</xdr:colOff>
      <xdr:row>35</xdr:row>
      <xdr:rowOff>76200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8" sqref="B28"/>
    </sheetView>
  </sheetViews>
  <sheetFormatPr defaultColWidth="8.85546875" defaultRowHeight="18" x14ac:dyDescent="0.25"/>
  <cols>
    <col min="1" max="1" width="10.7109375" style="1" customWidth="1"/>
    <col min="2" max="2" width="12.5703125" style="1" customWidth="1"/>
    <col min="3" max="3" width="35.7109375" style="1" customWidth="1"/>
    <col min="4" max="4" width="9.28515625" style="1" customWidth="1"/>
    <col min="5" max="5" width="15" style="1" customWidth="1"/>
    <col min="6" max="6" width="3.140625" style="1" customWidth="1"/>
    <col min="7" max="7" width="9.42578125" style="1" customWidth="1"/>
    <col min="8" max="8" width="9" style="1" customWidth="1"/>
    <col min="9" max="9" width="10.28515625" style="1" customWidth="1"/>
    <col min="10" max="10" width="8.28515625" style="1" customWidth="1"/>
    <col min="11" max="11" width="13.42578125" style="1" customWidth="1"/>
    <col min="12" max="12" width="12.5703125" style="1" customWidth="1"/>
    <col min="13" max="13" width="10.7109375" style="1" customWidth="1"/>
    <col min="14" max="14" width="5.85546875" style="1" customWidth="1"/>
    <col min="15" max="15" width="10.7109375" style="1" customWidth="1"/>
    <col min="16" max="16384" width="8.85546875" style="1"/>
  </cols>
  <sheetData>
    <row r="1" spans="1:15" x14ac:dyDescent="0.25">
      <c r="A1" s="2" t="s">
        <v>15</v>
      </c>
    </row>
    <row r="2" spans="1:15" ht="37.5" customHeight="1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" t="s">
        <v>22</v>
      </c>
    </row>
    <row r="5" spans="1:15" ht="36" x14ac:dyDescent="0.25">
      <c r="A5" s="2" t="s">
        <v>2</v>
      </c>
      <c r="B5" s="16" t="s">
        <v>0</v>
      </c>
      <c r="C5" s="2"/>
      <c r="D5" s="2" t="s">
        <v>2</v>
      </c>
      <c r="E5" s="2" t="s">
        <v>20</v>
      </c>
      <c r="F5" s="2"/>
      <c r="G5" s="2" t="s">
        <v>2</v>
      </c>
      <c r="H5" s="2" t="s">
        <v>6</v>
      </c>
      <c r="I5" s="2" t="s">
        <v>7</v>
      </c>
      <c r="J5" s="2" t="s">
        <v>8</v>
      </c>
      <c r="K5" s="2" t="s">
        <v>11</v>
      </c>
      <c r="L5" s="2" t="s">
        <v>9</v>
      </c>
      <c r="M5" s="2" t="s">
        <v>10</v>
      </c>
      <c r="N5" s="2"/>
    </row>
    <row r="6" spans="1:15" x14ac:dyDescent="0.25">
      <c r="A6" s="1" t="s">
        <v>3</v>
      </c>
      <c r="B6" s="1" t="s">
        <v>1</v>
      </c>
      <c r="D6" s="1" t="s">
        <v>4</v>
      </c>
      <c r="E6" s="1" t="s">
        <v>5</v>
      </c>
      <c r="G6" s="1" t="s">
        <v>4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5" x14ac:dyDescent="0.25">
      <c r="A7" s="2" t="s">
        <v>17</v>
      </c>
      <c r="B7" s="2">
        <v>0.2</v>
      </c>
      <c r="D7" s="2">
        <v>0</v>
      </c>
      <c r="E7" s="6">
        <v>0</v>
      </c>
      <c r="F7" s="2"/>
      <c r="G7" s="9">
        <v>0</v>
      </c>
      <c r="H7" s="8">
        <f>$B$7*E7</f>
        <v>0</v>
      </c>
      <c r="I7" s="2"/>
      <c r="J7" s="2"/>
      <c r="K7" s="8">
        <f>SUM(H7:J7)</f>
        <v>0</v>
      </c>
      <c r="L7" s="2">
        <v>50</v>
      </c>
      <c r="M7" s="8">
        <f>L7+K7</f>
        <v>50</v>
      </c>
      <c r="N7" s="2"/>
    </row>
    <row r="8" spans="1:15" x14ac:dyDescent="0.25">
      <c r="A8" s="2" t="s">
        <v>18</v>
      </c>
      <c r="B8" s="2">
        <v>0.74</v>
      </c>
      <c r="D8" s="2">
        <f>D7+0.125</f>
        <v>0.125</v>
      </c>
      <c r="E8" s="6">
        <v>327.39999999999998</v>
      </c>
      <c r="F8" s="2"/>
      <c r="G8" s="9">
        <f>0.125+G7</f>
        <v>0.125</v>
      </c>
      <c r="H8" s="8">
        <f t="shared" ref="H8:H31" si="0">$B$7*E8</f>
        <v>65.48</v>
      </c>
      <c r="I8" s="2"/>
      <c r="J8" s="2"/>
      <c r="K8" s="8">
        <f t="shared" ref="K8:K31" si="1">SUM(H8:J8)</f>
        <v>65.48</v>
      </c>
      <c r="L8" s="2">
        <v>50</v>
      </c>
      <c r="M8" s="8">
        <f t="shared" ref="M8:M31" si="2">L8+K8</f>
        <v>115.48</v>
      </c>
      <c r="N8" s="2"/>
    </row>
    <row r="9" spans="1:15" x14ac:dyDescent="0.25">
      <c r="A9" s="2" t="s">
        <v>19</v>
      </c>
      <c r="B9" s="2">
        <v>0.18</v>
      </c>
      <c r="D9" s="2">
        <f>D8+0.125</f>
        <v>0.25</v>
      </c>
      <c r="E9" s="6">
        <v>1216.5999999999999</v>
      </c>
      <c r="F9" s="2"/>
      <c r="G9" s="9">
        <f t="shared" ref="G9:G31" si="3">0.125+G8</f>
        <v>0.25</v>
      </c>
      <c r="H9" s="8">
        <f t="shared" si="0"/>
        <v>243.32</v>
      </c>
      <c r="I9" s="8">
        <f>$B$8*E7</f>
        <v>0</v>
      </c>
      <c r="J9" s="2"/>
      <c r="K9" s="8">
        <f t="shared" si="1"/>
        <v>243.32</v>
      </c>
      <c r="L9" s="2">
        <v>50</v>
      </c>
      <c r="M9" s="8">
        <f t="shared" si="2"/>
        <v>293.32</v>
      </c>
      <c r="N9" s="2"/>
    </row>
    <row r="10" spans="1:15" x14ac:dyDescent="0.25">
      <c r="D10" s="2">
        <f t="shared" ref="D10:D27" si="4">D9+0.125</f>
        <v>0.375</v>
      </c>
      <c r="E10" s="6">
        <v>2131.5</v>
      </c>
      <c r="F10" s="2"/>
      <c r="G10" s="9">
        <f t="shared" si="3"/>
        <v>0.375</v>
      </c>
      <c r="H10" s="8">
        <f t="shared" si="0"/>
        <v>426.3</v>
      </c>
      <c r="I10" s="8">
        <f t="shared" ref="I10:I31" si="5">$B$8*E8</f>
        <v>242.27599999999998</v>
      </c>
      <c r="J10" s="2"/>
      <c r="K10" s="8">
        <f t="shared" si="1"/>
        <v>668.57600000000002</v>
      </c>
      <c r="L10" s="2">
        <v>50</v>
      </c>
      <c r="M10" s="8">
        <f t="shared" si="2"/>
        <v>718.57600000000002</v>
      </c>
      <c r="N10" s="2"/>
    </row>
    <row r="11" spans="1:15" x14ac:dyDescent="0.25">
      <c r="D11" s="2">
        <f t="shared" si="4"/>
        <v>0.5</v>
      </c>
      <c r="E11" s="6">
        <v>2270.3000000000002</v>
      </c>
      <c r="F11" s="2"/>
      <c r="G11" s="9">
        <f t="shared" si="3"/>
        <v>0.5</v>
      </c>
      <c r="H11" s="8">
        <f t="shared" si="0"/>
        <v>454.06000000000006</v>
      </c>
      <c r="I11" s="8">
        <f t="shared" si="5"/>
        <v>900.28399999999988</v>
      </c>
      <c r="J11" s="8">
        <f>$B$9*E7</f>
        <v>0</v>
      </c>
      <c r="K11" s="8">
        <f t="shared" si="1"/>
        <v>1354.3440000000001</v>
      </c>
      <c r="L11" s="2">
        <v>50</v>
      </c>
      <c r="M11" s="8">
        <f t="shared" si="2"/>
        <v>1404.3440000000001</v>
      </c>
      <c r="N11" s="2"/>
    </row>
    <row r="12" spans="1:15" x14ac:dyDescent="0.25">
      <c r="D12" s="2">
        <f t="shared" si="4"/>
        <v>0.625</v>
      </c>
      <c r="E12" s="6">
        <v>1776.5</v>
      </c>
      <c r="F12" s="2"/>
      <c r="G12" s="9">
        <f t="shared" si="3"/>
        <v>0.625</v>
      </c>
      <c r="H12" s="8">
        <f t="shared" si="0"/>
        <v>355.3</v>
      </c>
      <c r="I12" s="8">
        <f t="shared" si="5"/>
        <v>1577.31</v>
      </c>
      <c r="J12" s="8">
        <f t="shared" ref="J12:J31" si="6">$B$9*E8</f>
        <v>58.931999999999995</v>
      </c>
      <c r="K12" s="8">
        <f t="shared" si="1"/>
        <v>1991.5419999999999</v>
      </c>
      <c r="L12" s="2">
        <v>50</v>
      </c>
      <c r="M12" s="8">
        <f t="shared" si="2"/>
        <v>2041.5419999999999</v>
      </c>
      <c r="N12" s="2"/>
    </row>
    <row r="13" spans="1:15" x14ac:dyDescent="0.25">
      <c r="D13" s="2">
        <f t="shared" si="4"/>
        <v>0.75</v>
      </c>
      <c r="E13" s="6">
        <v>1201.5999999999999</v>
      </c>
      <c r="F13" s="2"/>
      <c r="G13" s="9">
        <f t="shared" si="3"/>
        <v>0.75</v>
      </c>
      <c r="H13" s="8">
        <f t="shared" si="0"/>
        <v>240.32</v>
      </c>
      <c r="I13" s="8">
        <f t="shared" si="5"/>
        <v>1680.0220000000002</v>
      </c>
      <c r="J13" s="8">
        <f t="shared" si="6"/>
        <v>218.98799999999997</v>
      </c>
      <c r="K13" s="8">
        <f t="shared" si="1"/>
        <v>2139.33</v>
      </c>
      <c r="L13" s="2">
        <v>50</v>
      </c>
      <c r="M13" s="8">
        <f t="shared" si="2"/>
        <v>2189.33</v>
      </c>
      <c r="N13" s="2"/>
    </row>
    <row r="14" spans="1:15" x14ac:dyDescent="0.25">
      <c r="D14" s="2">
        <f t="shared" si="4"/>
        <v>0.875</v>
      </c>
      <c r="E14" s="6">
        <v>815</v>
      </c>
      <c r="F14" s="2"/>
      <c r="G14" s="9">
        <f t="shared" si="3"/>
        <v>0.875</v>
      </c>
      <c r="H14" s="8">
        <f t="shared" si="0"/>
        <v>163</v>
      </c>
      <c r="I14" s="8">
        <f t="shared" si="5"/>
        <v>1314.61</v>
      </c>
      <c r="J14" s="8">
        <f t="shared" si="6"/>
        <v>383.66999999999996</v>
      </c>
      <c r="K14" s="8">
        <f t="shared" si="1"/>
        <v>1861.2799999999997</v>
      </c>
      <c r="L14" s="2">
        <v>50</v>
      </c>
      <c r="M14" s="8">
        <f t="shared" si="2"/>
        <v>1911.2799999999997</v>
      </c>
      <c r="N14" s="2"/>
    </row>
    <row r="15" spans="1:15" x14ac:dyDescent="0.25">
      <c r="D15" s="2">
        <f t="shared" si="4"/>
        <v>1</v>
      </c>
      <c r="E15" s="6">
        <v>546.9</v>
      </c>
      <c r="F15" s="2"/>
      <c r="G15" s="9">
        <f t="shared" si="3"/>
        <v>1</v>
      </c>
      <c r="H15" s="8">
        <f t="shared" si="0"/>
        <v>109.38</v>
      </c>
      <c r="I15" s="8">
        <f t="shared" si="5"/>
        <v>889.18399999999997</v>
      </c>
      <c r="J15" s="8">
        <f t="shared" si="6"/>
        <v>408.654</v>
      </c>
      <c r="K15" s="8">
        <f t="shared" si="1"/>
        <v>1407.2179999999998</v>
      </c>
      <c r="L15" s="2">
        <v>50</v>
      </c>
      <c r="M15" s="8">
        <f t="shared" si="2"/>
        <v>1457.2179999999998</v>
      </c>
      <c r="N15" s="2"/>
    </row>
    <row r="16" spans="1:15" x14ac:dyDescent="0.25">
      <c r="D16" s="2">
        <f t="shared" si="4"/>
        <v>1.125</v>
      </c>
      <c r="E16" s="6">
        <v>364.2</v>
      </c>
      <c r="F16" s="2"/>
      <c r="G16" s="9">
        <f t="shared" si="3"/>
        <v>1.125</v>
      </c>
      <c r="H16" s="8">
        <f t="shared" si="0"/>
        <v>72.84</v>
      </c>
      <c r="I16" s="8">
        <f t="shared" si="5"/>
        <v>603.1</v>
      </c>
      <c r="J16" s="8">
        <f t="shared" si="6"/>
        <v>319.77</v>
      </c>
      <c r="K16" s="8">
        <f t="shared" si="1"/>
        <v>995.71</v>
      </c>
      <c r="L16" s="2">
        <v>50</v>
      </c>
      <c r="M16" s="8">
        <f t="shared" si="2"/>
        <v>1045.71</v>
      </c>
      <c r="N16" s="2"/>
    </row>
    <row r="17" spans="1:14" x14ac:dyDescent="0.25">
      <c r="D17" s="2">
        <f t="shared" si="4"/>
        <v>1.25</v>
      </c>
      <c r="E17" s="6">
        <v>238.8</v>
      </c>
      <c r="F17" s="2"/>
      <c r="G17" s="9">
        <f t="shared" si="3"/>
        <v>1.25</v>
      </c>
      <c r="H17" s="8">
        <f t="shared" si="0"/>
        <v>47.760000000000005</v>
      </c>
      <c r="I17" s="8">
        <f t="shared" si="5"/>
        <v>404.70599999999996</v>
      </c>
      <c r="J17" s="8">
        <f t="shared" si="6"/>
        <v>216.28799999999998</v>
      </c>
      <c r="K17" s="8">
        <f t="shared" si="1"/>
        <v>668.75399999999991</v>
      </c>
      <c r="L17" s="2">
        <v>50</v>
      </c>
      <c r="M17" s="8">
        <f t="shared" si="2"/>
        <v>718.75399999999991</v>
      </c>
      <c r="N17" s="2"/>
    </row>
    <row r="18" spans="1:14" x14ac:dyDescent="0.25">
      <c r="D18" s="2">
        <f t="shared" si="4"/>
        <v>1.375</v>
      </c>
      <c r="E18" s="6">
        <v>165.8</v>
      </c>
      <c r="F18" s="2"/>
      <c r="G18" s="9">
        <f t="shared" si="3"/>
        <v>1.375</v>
      </c>
      <c r="H18" s="8">
        <f t="shared" si="0"/>
        <v>33.160000000000004</v>
      </c>
      <c r="I18" s="8">
        <f t="shared" si="5"/>
        <v>269.50799999999998</v>
      </c>
      <c r="J18" s="8">
        <f t="shared" si="6"/>
        <v>146.69999999999999</v>
      </c>
      <c r="K18" s="8">
        <f t="shared" si="1"/>
        <v>449.36799999999999</v>
      </c>
      <c r="L18" s="2">
        <v>50</v>
      </c>
      <c r="M18" s="8">
        <f t="shared" si="2"/>
        <v>499.36799999999999</v>
      </c>
      <c r="N18" s="2"/>
    </row>
    <row r="19" spans="1:14" x14ac:dyDescent="0.25">
      <c r="A19" s="2"/>
      <c r="D19" s="2">
        <f t="shared" si="4"/>
        <v>1.5</v>
      </c>
      <c r="E19" s="6">
        <v>115.5</v>
      </c>
      <c r="F19" s="2"/>
      <c r="G19" s="9">
        <f t="shared" si="3"/>
        <v>1.5</v>
      </c>
      <c r="H19" s="8">
        <f t="shared" si="0"/>
        <v>23.1</v>
      </c>
      <c r="I19" s="8">
        <f t="shared" si="5"/>
        <v>176.71200000000002</v>
      </c>
      <c r="J19" s="8">
        <f t="shared" si="6"/>
        <v>98.441999999999993</v>
      </c>
      <c r="K19" s="8">
        <f t="shared" si="1"/>
        <v>298.25400000000002</v>
      </c>
      <c r="L19" s="2">
        <v>50</v>
      </c>
      <c r="M19" s="8">
        <f t="shared" si="2"/>
        <v>348.25400000000002</v>
      </c>
      <c r="N19" s="2"/>
    </row>
    <row r="20" spans="1:14" x14ac:dyDescent="0.25">
      <c r="D20" s="2">
        <f t="shared" si="4"/>
        <v>1.625</v>
      </c>
      <c r="E20" s="6">
        <v>75.2</v>
      </c>
      <c r="F20" s="2"/>
      <c r="G20" s="9">
        <f t="shared" si="3"/>
        <v>1.625</v>
      </c>
      <c r="H20" s="8">
        <f t="shared" si="0"/>
        <v>15.040000000000001</v>
      </c>
      <c r="I20" s="8">
        <f t="shared" si="5"/>
        <v>122.69200000000001</v>
      </c>
      <c r="J20" s="8">
        <f t="shared" si="6"/>
        <v>65.555999999999997</v>
      </c>
      <c r="K20" s="8">
        <f t="shared" si="1"/>
        <v>203.28800000000001</v>
      </c>
      <c r="L20" s="2">
        <v>50</v>
      </c>
      <c r="M20" s="8">
        <f t="shared" si="2"/>
        <v>253.28800000000001</v>
      </c>
      <c r="N20" s="2"/>
    </row>
    <row r="21" spans="1:14" x14ac:dyDescent="0.25">
      <c r="D21" s="2">
        <f t="shared" si="4"/>
        <v>1.75</v>
      </c>
      <c r="E21" s="6">
        <v>52</v>
      </c>
      <c r="F21" s="2"/>
      <c r="G21" s="9">
        <f t="shared" si="3"/>
        <v>1.75</v>
      </c>
      <c r="H21" s="8">
        <f t="shared" si="0"/>
        <v>10.4</v>
      </c>
      <c r="I21" s="8">
        <f t="shared" si="5"/>
        <v>85.47</v>
      </c>
      <c r="J21" s="8">
        <f t="shared" si="6"/>
        <v>42.984000000000002</v>
      </c>
      <c r="K21" s="8">
        <f t="shared" si="1"/>
        <v>138.85400000000001</v>
      </c>
      <c r="L21" s="2">
        <v>50</v>
      </c>
      <c r="M21" s="8">
        <f t="shared" si="2"/>
        <v>188.85400000000001</v>
      </c>
      <c r="N21" s="2"/>
    </row>
    <row r="22" spans="1:14" x14ac:dyDescent="0.25">
      <c r="D22" s="2">
        <f t="shared" si="4"/>
        <v>1.875</v>
      </c>
      <c r="E22" s="6">
        <v>35.299999999999997</v>
      </c>
      <c r="G22" s="9">
        <f t="shared" si="3"/>
        <v>1.875</v>
      </c>
      <c r="H22" s="8">
        <f t="shared" si="0"/>
        <v>7.06</v>
      </c>
      <c r="I22" s="8">
        <f t="shared" si="5"/>
        <v>55.648000000000003</v>
      </c>
      <c r="J22" s="8">
        <f t="shared" si="6"/>
        <v>29.844000000000001</v>
      </c>
      <c r="K22" s="8">
        <f t="shared" si="1"/>
        <v>92.552000000000007</v>
      </c>
      <c r="L22" s="2">
        <v>50</v>
      </c>
      <c r="M22" s="8">
        <f t="shared" si="2"/>
        <v>142.55200000000002</v>
      </c>
    </row>
    <row r="23" spans="1:14" x14ac:dyDescent="0.25">
      <c r="A23" s="2" t="s">
        <v>12</v>
      </c>
      <c r="D23" s="2">
        <f t="shared" si="4"/>
        <v>2</v>
      </c>
      <c r="E23" s="6">
        <v>23.7</v>
      </c>
      <c r="G23" s="9">
        <f t="shared" si="3"/>
        <v>2</v>
      </c>
      <c r="H23" s="8">
        <f t="shared" si="0"/>
        <v>4.74</v>
      </c>
      <c r="I23" s="8">
        <f t="shared" si="5"/>
        <v>38.479999999999997</v>
      </c>
      <c r="J23" s="8">
        <f t="shared" si="6"/>
        <v>20.79</v>
      </c>
      <c r="K23" s="8">
        <f t="shared" si="1"/>
        <v>64.009999999999991</v>
      </c>
      <c r="L23" s="2">
        <v>50</v>
      </c>
      <c r="M23" s="8">
        <f t="shared" si="2"/>
        <v>114.00999999999999</v>
      </c>
    </row>
    <row r="24" spans="1:14" x14ac:dyDescent="0.25">
      <c r="A24" s="1" t="s">
        <v>13</v>
      </c>
      <c r="B24" s="1">
        <f>E32*0.125*3600</f>
        <v>5128458.7499999991</v>
      </c>
      <c r="D24" s="2">
        <f t="shared" si="4"/>
        <v>2.125</v>
      </c>
      <c r="E24" s="6">
        <f>(E25+E23)/2</f>
        <v>16.634999999999998</v>
      </c>
      <c r="G24" s="9">
        <f t="shared" si="3"/>
        <v>2.125</v>
      </c>
      <c r="H24" s="8">
        <f t="shared" si="0"/>
        <v>3.327</v>
      </c>
      <c r="I24" s="8">
        <f t="shared" si="5"/>
        <v>26.121999999999996</v>
      </c>
      <c r="J24" s="8">
        <f t="shared" si="6"/>
        <v>13.536</v>
      </c>
      <c r="K24" s="8">
        <f t="shared" si="1"/>
        <v>42.984999999999999</v>
      </c>
      <c r="L24" s="2">
        <v>50</v>
      </c>
      <c r="M24" s="8">
        <f t="shared" si="2"/>
        <v>92.984999999999999</v>
      </c>
    </row>
    <row r="25" spans="1:14" x14ac:dyDescent="0.25">
      <c r="A25" s="2" t="s">
        <v>49</v>
      </c>
      <c r="D25" s="2">
        <f t="shared" si="4"/>
        <v>2.25</v>
      </c>
      <c r="E25" s="6">
        <v>9.57</v>
      </c>
      <c r="G25" s="9">
        <f t="shared" si="3"/>
        <v>2.25</v>
      </c>
      <c r="H25" s="8">
        <f t="shared" si="0"/>
        <v>1.9140000000000001</v>
      </c>
      <c r="I25" s="8">
        <f t="shared" si="5"/>
        <v>17.538</v>
      </c>
      <c r="J25" s="8">
        <f t="shared" si="6"/>
        <v>9.36</v>
      </c>
      <c r="K25" s="8">
        <f t="shared" si="1"/>
        <v>28.812000000000001</v>
      </c>
      <c r="L25" s="2">
        <v>50</v>
      </c>
      <c r="M25" s="8">
        <f t="shared" si="2"/>
        <v>78.811999999999998</v>
      </c>
    </row>
    <row r="26" spans="1:14" x14ac:dyDescent="0.25">
      <c r="A26" s="1" t="s">
        <v>50</v>
      </c>
      <c r="D26" s="2">
        <f t="shared" si="4"/>
        <v>2.375</v>
      </c>
      <c r="E26" s="6">
        <v>7.82</v>
      </c>
      <c r="G26" s="9">
        <f t="shared" si="3"/>
        <v>2.375</v>
      </c>
      <c r="H26" s="8">
        <f t="shared" si="0"/>
        <v>1.5640000000000001</v>
      </c>
      <c r="I26" s="8">
        <f t="shared" si="5"/>
        <v>12.309899999999999</v>
      </c>
      <c r="J26" s="8">
        <f t="shared" si="6"/>
        <v>6.3539999999999992</v>
      </c>
      <c r="K26" s="8">
        <f t="shared" si="1"/>
        <v>20.227899999999998</v>
      </c>
      <c r="L26" s="2">
        <v>50</v>
      </c>
      <c r="M26" s="8">
        <f t="shared" si="2"/>
        <v>70.227900000000005</v>
      </c>
    </row>
    <row r="27" spans="1:14" x14ac:dyDescent="0.25">
      <c r="B27" s="1">
        <f>B24/(1/12)</f>
        <v>61541504.999999993</v>
      </c>
      <c r="C27" s="1" t="s">
        <v>14</v>
      </c>
      <c r="D27" s="2">
        <f t="shared" si="4"/>
        <v>2.5</v>
      </c>
      <c r="E27" s="6">
        <v>6.25</v>
      </c>
      <c r="G27" s="9">
        <f t="shared" si="3"/>
        <v>2.5</v>
      </c>
      <c r="H27" s="8">
        <f t="shared" si="0"/>
        <v>1.25</v>
      </c>
      <c r="I27" s="8">
        <f t="shared" si="5"/>
        <v>7.0818000000000003</v>
      </c>
      <c r="J27" s="8">
        <f t="shared" si="6"/>
        <v>4.266</v>
      </c>
      <c r="K27" s="8">
        <f t="shared" si="1"/>
        <v>12.597800000000001</v>
      </c>
      <c r="L27" s="2">
        <v>50</v>
      </c>
      <c r="M27" s="8">
        <f t="shared" si="2"/>
        <v>62.597799999999999</v>
      </c>
    </row>
    <row r="28" spans="1:14" x14ac:dyDescent="0.25">
      <c r="B28" s="17">
        <f>B27/5280^2</f>
        <v>2.2074977401859504</v>
      </c>
      <c r="C28" s="1" t="s">
        <v>23</v>
      </c>
      <c r="G28" s="9">
        <f t="shared" si="3"/>
        <v>2.625</v>
      </c>
      <c r="H28" s="8">
        <f t="shared" si="0"/>
        <v>0</v>
      </c>
      <c r="I28" s="8">
        <f t="shared" si="5"/>
        <v>5.7868000000000004</v>
      </c>
      <c r="J28" s="8">
        <f t="shared" si="6"/>
        <v>2.9942999999999995</v>
      </c>
      <c r="K28" s="8">
        <f t="shared" si="1"/>
        <v>8.7811000000000003</v>
      </c>
      <c r="L28" s="2">
        <v>50</v>
      </c>
      <c r="M28" s="8">
        <f t="shared" si="2"/>
        <v>58.781100000000002</v>
      </c>
    </row>
    <row r="29" spans="1:14" x14ac:dyDescent="0.25">
      <c r="G29" s="9">
        <f t="shared" si="3"/>
        <v>2.75</v>
      </c>
      <c r="H29" s="8">
        <f t="shared" si="0"/>
        <v>0</v>
      </c>
      <c r="I29" s="8">
        <f t="shared" si="5"/>
        <v>4.625</v>
      </c>
      <c r="J29" s="8">
        <f t="shared" si="6"/>
        <v>1.7225999999999999</v>
      </c>
      <c r="K29" s="8">
        <f t="shared" si="1"/>
        <v>6.3475999999999999</v>
      </c>
      <c r="L29" s="2">
        <v>50</v>
      </c>
      <c r="M29" s="8">
        <f t="shared" si="2"/>
        <v>56.3476</v>
      </c>
    </row>
    <row r="30" spans="1:14" x14ac:dyDescent="0.25">
      <c r="G30" s="9">
        <f t="shared" si="3"/>
        <v>2.875</v>
      </c>
      <c r="H30" s="8">
        <f t="shared" si="0"/>
        <v>0</v>
      </c>
      <c r="I30" s="8">
        <f t="shared" si="5"/>
        <v>0</v>
      </c>
      <c r="J30" s="8">
        <f t="shared" si="6"/>
        <v>1.4076</v>
      </c>
      <c r="K30" s="8">
        <f t="shared" si="1"/>
        <v>1.4076</v>
      </c>
      <c r="L30" s="2">
        <v>50</v>
      </c>
      <c r="M30" s="8">
        <f t="shared" si="2"/>
        <v>51.407600000000002</v>
      </c>
    </row>
    <row r="31" spans="1:14" x14ac:dyDescent="0.25">
      <c r="G31" s="9">
        <f t="shared" si="3"/>
        <v>3</v>
      </c>
      <c r="H31" s="8">
        <f t="shared" si="0"/>
        <v>0</v>
      </c>
      <c r="I31" s="8">
        <f t="shared" si="5"/>
        <v>0</v>
      </c>
      <c r="J31" s="8">
        <f t="shared" si="6"/>
        <v>1.125</v>
      </c>
      <c r="K31" s="8">
        <f t="shared" si="1"/>
        <v>1.125</v>
      </c>
      <c r="L31" s="2">
        <v>50</v>
      </c>
      <c r="M31" s="8">
        <f t="shared" si="2"/>
        <v>51.125</v>
      </c>
    </row>
    <row r="32" spans="1:14" x14ac:dyDescent="0.25">
      <c r="E32" s="5">
        <f>SUM(E7:E27)</f>
        <v>11396.574999999999</v>
      </c>
    </row>
  </sheetData>
  <mergeCells count="1">
    <mergeCell ref="A2:O2"/>
  </mergeCells>
  <phoneticPr fontId="0" type="noConversion"/>
  <pageMargins left="0.75" right="0.75" top="1" bottom="1" header="0.5" footer="0.5"/>
  <pageSetup scale="82" fitToHeight="2" orientation="landscape" horizontalDpi="0" verticalDpi="0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4" sqref="F4:F17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5.7109375" style="1" customWidth="1"/>
    <col min="7" max="7" width="11.28515625" style="1" customWidth="1"/>
    <col min="8" max="8" width="9" style="1" customWidth="1"/>
    <col min="9" max="9" width="12.28515625" style="1" customWidth="1"/>
    <col min="10" max="10" width="8.28515625" style="1" customWidth="1"/>
    <col min="11" max="11" width="10.7109375" style="1" customWidth="1"/>
    <col min="12" max="12" width="7.28515625" style="1" customWidth="1"/>
    <col min="13" max="13" width="10.7109375" style="1" customWidth="1"/>
    <col min="14" max="16384" width="8.85546875" style="1"/>
  </cols>
  <sheetData>
    <row r="1" spans="1:12" x14ac:dyDescent="0.25">
      <c r="A1" s="2" t="s">
        <v>30</v>
      </c>
    </row>
    <row r="3" spans="1:12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27</v>
      </c>
      <c r="J3" s="2"/>
      <c r="K3" s="2"/>
      <c r="L3" s="2"/>
    </row>
    <row r="4" spans="1:12" x14ac:dyDescent="0.25">
      <c r="A4" s="1" t="s">
        <v>3</v>
      </c>
      <c r="B4" s="1" t="s">
        <v>1</v>
      </c>
      <c r="D4" s="1" t="s">
        <v>4</v>
      </c>
      <c r="E4" s="1" t="s">
        <v>5</v>
      </c>
      <c r="F4" s="22">
        <v>10</v>
      </c>
      <c r="G4" s="4" t="s">
        <v>26</v>
      </c>
      <c r="K4" s="1" t="s">
        <v>28</v>
      </c>
      <c r="L4" s="1" t="s">
        <v>29</v>
      </c>
    </row>
    <row r="5" spans="1:12" x14ac:dyDescent="0.25">
      <c r="D5" s="9">
        <v>0</v>
      </c>
      <c r="E5" s="8">
        <v>0</v>
      </c>
      <c r="F5">
        <f ca="1">NORMINV(RAND(),0,$F$4)</f>
        <v>-21.741196967768722</v>
      </c>
      <c r="G5" s="6">
        <f ca="1">MAX(E5+F5,0)</f>
        <v>0</v>
      </c>
      <c r="H5" s="8"/>
      <c r="I5" s="2">
        <v>0</v>
      </c>
      <c r="J5" s="18"/>
      <c r="K5" s="2">
        <v>0.74</v>
      </c>
      <c r="L5" s="2">
        <v>0.18</v>
      </c>
    </row>
    <row r="6" spans="1:12" x14ac:dyDescent="0.25">
      <c r="A6" s="2" t="s">
        <v>17</v>
      </c>
      <c r="B6" s="2">
        <v>0.2</v>
      </c>
      <c r="D6" s="2">
        <f t="shared" ref="D6:D17" si="0">D5+0.25</f>
        <v>0.25</v>
      </c>
      <c r="E6" s="8">
        <v>243.32</v>
      </c>
      <c r="F6">
        <f t="shared" ref="F6:F17" ca="1" si="1">NORMINV(RAND(),0,$F$4)</f>
        <v>10.515127303401641</v>
      </c>
      <c r="G6" s="6">
        <f t="shared" ref="G6:G17" ca="1" si="2">MAX(E6+F6,0)</f>
        <v>253.83512730340163</v>
      </c>
      <c r="H6" s="8"/>
      <c r="I6" s="8">
        <f ca="1">G6/B6</f>
        <v>1269.1756365170081</v>
      </c>
      <c r="J6" s="2"/>
      <c r="K6" s="2">
        <f ca="1">$K$5*I6</f>
        <v>939.18997102258595</v>
      </c>
      <c r="L6" s="2">
        <f ca="1">$L$5*I6</f>
        <v>228.45161457306145</v>
      </c>
    </row>
    <row r="7" spans="1:12" x14ac:dyDescent="0.25">
      <c r="A7" s="2" t="s">
        <v>18</v>
      </c>
      <c r="B7" s="2">
        <v>0.74</v>
      </c>
      <c r="D7" s="2">
        <f t="shared" si="0"/>
        <v>0.5</v>
      </c>
      <c r="E7" s="8">
        <v>1354.3440000000001</v>
      </c>
      <c r="F7">
        <f t="shared" ca="1" si="1"/>
        <v>21.136975115124731</v>
      </c>
      <c r="G7" s="6">
        <f t="shared" ca="1" si="2"/>
        <v>1375.4809751151247</v>
      </c>
      <c r="H7" s="8"/>
      <c r="I7" s="8">
        <f ca="1">(G7-K6)/$B$6</f>
        <v>2181.4550204626935</v>
      </c>
      <c r="J7" s="2"/>
      <c r="K7" s="8">
        <f ca="1">I7*$K$5</f>
        <v>1614.2767151423932</v>
      </c>
      <c r="L7" s="2">
        <f ca="1">$L$5*I7</f>
        <v>392.66190368328483</v>
      </c>
    </row>
    <row r="8" spans="1:12" x14ac:dyDescent="0.25">
      <c r="A8" s="2" t="s">
        <v>19</v>
      </c>
      <c r="B8" s="2">
        <v>0.18</v>
      </c>
      <c r="D8" s="2">
        <f t="shared" si="0"/>
        <v>0.75</v>
      </c>
      <c r="E8" s="8">
        <v>2139.33</v>
      </c>
      <c r="F8">
        <f t="shared" ca="1" si="1"/>
        <v>7.6548068551215209</v>
      </c>
      <c r="G8" s="6">
        <f t="shared" ca="1" si="2"/>
        <v>2146.9848068551214</v>
      </c>
      <c r="H8" s="8"/>
      <c r="I8" s="8">
        <f ca="1">(G8-K7-L6)/$B$6</f>
        <v>1521.2823856983339</v>
      </c>
      <c r="J8" s="2"/>
      <c r="K8" s="8">
        <f ca="1">I8*$K$5</f>
        <v>1125.7489654167671</v>
      </c>
      <c r="L8" s="2">
        <f ca="1">$L$5*I8</f>
        <v>273.83082942570007</v>
      </c>
    </row>
    <row r="9" spans="1:12" x14ac:dyDescent="0.25">
      <c r="D9" s="2">
        <f t="shared" si="0"/>
        <v>1</v>
      </c>
      <c r="E9" s="8">
        <v>1407.2179999999998</v>
      </c>
      <c r="F9">
        <f t="shared" ca="1" si="1"/>
        <v>6.4941539283692418</v>
      </c>
      <c r="G9" s="6">
        <f t="shared" ca="1" si="2"/>
        <v>1413.7121539283692</v>
      </c>
      <c r="H9" s="8"/>
      <c r="I9" s="8">
        <f t="shared" ref="I9:I17" ca="1" si="3">(G9-K8-L7)/$B$6</f>
        <v>-523.49357585841369</v>
      </c>
      <c r="J9" s="2"/>
      <c r="K9" s="8">
        <f t="shared" ref="K9:K17" ca="1" si="4">I9*$K$5</f>
        <v>-387.38524613522611</v>
      </c>
      <c r="L9" s="2">
        <f t="shared" ref="L9:L17" ca="1" si="5">$L$5*I9</f>
        <v>-94.228843654514463</v>
      </c>
    </row>
    <row r="10" spans="1:12" x14ac:dyDescent="0.25">
      <c r="D10" s="2">
        <f t="shared" si="0"/>
        <v>1.25</v>
      </c>
      <c r="E10" s="8">
        <v>668.75399999999991</v>
      </c>
      <c r="F10">
        <f t="shared" ca="1" si="1"/>
        <v>5.9268013930055403</v>
      </c>
      <c r="G10" s="6">
        <f t="shared" ca="1" si="2"/>
        <v>674.68080139300548</v>
      </c>
      <c r="H10" s="8"/>
      <c r="I10" s="8">
        <f t="shared" ca="1" si="3"/>
        <v>3941.1760905126571</v>
      </c>
      <c r="J10" s="2"/>
      <c r="K10" s="8">
        <f t="shared" ca="1" si="4"/>
        <v>2916.4703069793663</v>
      </c>
      <c r="L10" s="2">
        <f t="shared" ca="1" si="5"/>
        <v>709.41169629227829</v>
      </c>
    </row>
    <row r="11" spans="1:12" x14ac:dyDescent="0.25">
      <c r="D11" s="2">
        <f t="shared" si="0"/>
        <v>1.5</v>
      </c>
      <c r="E11" s="8">
        <v>298.25400000000002</v>
      </c>
      <c r="F11">
        <f t="shared" ca="1" si="1"/>
        <v>14.618559436977431</v>
      </c>
      <c r="G11" s="6">
        <f t="shared" ca="1" si="2"/>
        <v>312.87255943697744</v>
      </c>
      <c r="H11" s="8"/>
      <c r="I11" s="8">
        <f t="shared" ca="1" si="3"/>
        <v>-12546.84451943937</v>
      </c>
      <c r="J11" s="2"/>
      <c r="K11" s="8">
        <f t="shared" ca="1" si="4"/>
        <v>-9284.6649443851329</v>
      </c>
      <c r="L11" s="2">
        <f t="shared" ca="1" si="5"/>
        <v>-2258.4320134990867</v>
      </c>
    </row>
    <row r="12" spans="1:12" x14ac:dyDescent="0.25">
      <c r="D12" s="2">
        <f t="shared" si="0"/>
        <v>1.75</v>
      </c>
      <c r="E12" s="8">
        <v>138.85400000000001</v>
      </c>
      <c r="F12">
        <f t="shared" ca="1" si="1"/>
        <v>18.107152119452859</v>
      </c>
      <c r="G12" s="6">
        <f t="shared" ca="1" si="2"/>
        <v>156.96115211945286</v>
      </c>
      <c r="H12" s="8"/>
      <c r="I12" s="8">
        <f t="shared" ca="1" si="3"/>
        <v>43661.072001061533</v>
      </c>
      <c r="J12" s="2"/>
      <c r="K12" s="8">
        <f t="shared" ca="1" si="4"/>
        <v>32309.193280785534</v>
      </c>
      <c r="L12" s="2">
        <f t="shared" ca="1" si="5"/>
        <v>7858.9929601910753</v>
      </c>
    </row>
    <row r="13" spans="1:12" x14ac:dyDescent="0.25">
      <c r="D13" s="2">
        <f t="shared" si="0"/>
        <v>2</v>
      </c>
      <c r="E13" s="8">
        <v>64.010000000000005</v>
      </c>
      <c r="F13">
        <f t="shared" ca="1" si="1"/>
        <v>-3.9640372299988549</v>
      </c>
      <c r="G13" s="6">
        <f t="shared" ca="1" si="2"/>
        <v>60.045962770001154</v>
      </c>
      <c r="H13" s="8"/>
      <c r="I13" s="8">
        <f t="shared" ca="1" si="3"/>
        <v>-149953.57652258221</v>
      </c>
      <c r="J13" s="2"/>
      <c r="K13" s="8">
        <f t="shared" ca="1" si="4"/>
        <v>-110965.64662671083</v>
      </c>
      <c r="L13" s="2">
        <f t="shared" ca="1" si="5"/>
        <v>-26991.643774064796</v>
      </c>
    </row>
    <row r="14" spans="1:12" x14ac:dyDescent="0.25">
      <c r="D14" s="2">
        <f t="shared" si="0"/>
        <v>2.25</v>
      </c>
      <c r="E14" s="8">
        <v>28.811999999999998</v>
      </c>
      <c r="F14">
        <f t="shared" ca="1" si="1"/>
        <v>7.1853152662799928</v>
      </c>
      <c r="G14" s="6">
        <f t="shared" ca="1" si="2"/>
        <v>35.99731526627999</v>
      </c>
      <c r="H14" s="8"/>
      <c r="I14" s="8">
        <f t="shared" ca="1" si="3"/>
        <v>515713.25490893022</v>
      </c>
      <c r="J14" s="2"/>
      <c r="K14" s="8">
        <f t="shared" ca="1" si="4"/>
        <v>381627.80863260839</v>
      </c>
      <c r="L14" s="2">
        <f t="shared" ca="1" si="5"/>
        <v>92828.385883607436</v>
      </c>
    </row>
    <row r="15" spans="1:12" x14ac:dyDescent="0.25">
      <c r="D15" s="2">
        <f t="shared" si="0"/>
        <v>2.5</v>
      </c>
      <c r="E15" s="8">
        <v>12.597799999999999</v>
      </c>
      <c r="F15">
        <f t="shared" ca="1" si="1"/>
        <v>-2.8518732117673116</v>
      </c>
      <c r="G15" s="6">
        <f t="shared" ca="1" si="2"/>
        <v>9.745926788232687</v>
      </c>
      <c r="H15" s="8"/>
      <c r="I15" s="8">
        <f t="shared" ca="1" si="3"/>
        <v>-1773132.0946587767</v>
      </c>
      <c r="J15" s="2"/>
      <c r="K15" s="8">
        <f t="shared" ca="1" si="4"/>
        <v>-1312117.7500474947</v>
      </c>
      <c r="L15" s="2">
        <f t="shared" ca="1" si="5"/>
        <v>-319163.77703857981</v>
      </c>
    </row>
    <row r="16" spans="1:12" x14ac:dyDescent="0.25">
      <c r="D16" s="2">
        <f t="shared" si="0"/>
        <v>2.75</v>
      </c>
      <c r="E16" s="8">
        <v>6.3475999999999999</v>
      </c>
      <c r="F16">
        <f t="shared" ca="1" si="1"/>
        <v>6.9838062623922337</v>
      </c>
      <c r="G16" s="6">
        <f t="shared" ca="1" si="2"/>
        <v>13.331406262392234</v>
      </c>
      <c r="H16" s="8"/>
      <c r="I16" s="8">
        <f t="shared" ca="1" si="3"/>
        <v>6096513.4778507482</v>
      </c>
      <c r="J16" s="2"/>
      <c r="K16" s="8">
        <f t="shared" ca="1" si="4"/>
        <v>4511419.9736095537</v>
      </c>
      <c r="L16" s="2">
        <f t="shared" ca="1" si="5"/>
        <v>1097372.4260131347</v>
      </c>
    </row>
    <row r="17" spans="1:13" x14ac:dyDescent="0.25">
      <c r="A17" s="2"/>
      <c r="D17" s="2">
        <f t="shared" si="0"/>
        <v>3</v>
      </c>
      <c r="E17" s="8">
        <v>1.125</v>
      </c>
      <c r="F17">
        <f t="shared" ca="1" si="1"/>
        <v>-15.928463846290054</v>
      </c>
      <c r="G17" s="6">
        <f t="shared" ca="1" si="2"/>
        <v>0</v>
      </c>
      <c r="H17" s="8"/>
      <c r="I17" s="8">
        <f t="shared" ca="1" si="3"/>
        <v>-20961280.982854869</v>
      </c>
      <c r="J17" s="2"/>
      <c r="K17" s="8">
        <f t="shared" ca="1" si="4"/>
        <v>-15511347.927312603</v>
      </c>
      <c r="L17" s="2">
        <f t="shared" ca="1" si="5"/>
        <v>-3773030.5769138765</v>
      </c>
    </row>
    <row r="18" spans="1:13" x14ac:dyDescent="0.25">
      <c r="D18" s="2"/>
      <c r="E18" s="5"/>
      <c r="F18" s="2"/>
      <c r="G18" s="9"/>
      <c r="H18" s="8"/>
      <c r="I18" s="8"/>
      <c r="J18" s="8"/>
      <c r="L18" s="2"/>
      <c r="M18" s="8"/>
    </row>
    <row r="19" spans="1:13" x14ac:dyDescent="0.25">
      <c r="D19" s="2"/>
      <c r="F19" s="2"/>
      <c r="G19" s="9"/>
      <c r="H19" s="8"/>
      <c r="I19" s="8"/>
      <c r="J19" s="8"/>
      <c r="L19" s="2"/>
      <c r="M19" s="8"/>
    </row>
    <row r="20" spans="1:13" x14ac:dyDescent="0.25">
      <c r="D20" s="2"/>
      <c r="G20" s="9"/>
      <c r="H20" s="8"/>
      <c r="I20" s="8"/>
      <c r="J20" s="8"/>
      <c r="M20" s="8"/>
    </row>
    <row r="21" spans="1:13" x14ac:dyDescent="0.25">
      <c r="A21" s="2"/>
      <c r="D21" s="2"/>
      <c r="G21" s="9"/>
      <c r="H21" s="8"/>
      <c r="I21" s="8"/>
      <c r="J21" s="8"/>
      <c r="M21" s="8"/>
    </row>
    <row r="22" spans="1:13" x14ac:dyDescent="0.25">
      <c r="D22" s="2"/>
      <c r="G22" s="9"/>
      <c r="H22" s="8"/>
      <c r="I22" s="8"/>
      <c r="J22" s="8"/>
      <c r="M22" s="8"/>
    </row>
    <row r="23" spans="1:13" x14ac:dyDescent="0.25">
      <c r="B23" s="3"/>
      <c r="D23" s="2"/>
      <c r="G23" s="9"/>
      <c r="H23" s="8"/>
      <c r="I23" s="8"/>
      <c r="J23" s="8"/>
      <c r="M23" s="8"/>
    </row>
    <row r="24" spans="1:13" x14ac:dyDescent="0.25">
      <c r="D24" s="2"/>
      <c r="G24" s="9"/>
      <c r="H24" s="8"/>
      <c r="I24" s="8"/>
      <c r="J24" s="8"/>
      <c r="M24" s="8"/>
    </row>
    <row r="25" spans="1:13" x14ac:dyDescent="0.25">
      <c r="A25" s="2"/>
      <c r="D25" s="2"/>
      <c r="G25" s="9"/>
      <c r="H25" s="8"/>
      <c r="I25" s="8"/>
      <c r="J25" s="8"/>
      <c r="M25" s="8"/>
    </row>
    <row r="26" spans="1:13" x14ac:dyDescent="0.25">
      <c r="I26" s="8"/>
      <c r="J26" s="8"/>
      <c r="M26" s="8"/>
    </row>
    <row r="27" spans="1:13" x14ac:dyDescent="0.25">
      <c r="B27" s="2"/>
      <c r="D27" s="10"/>
      <c r="I27" s="8"/>
      <c r="J27" s="8"/>
      <c r="M27" s="8"/>
    </row>
    <row r="28" spans="1:13" x14ac:dyDescent="0.25">
      <c r="J28" s="8"/>
      <c r="M28" s="8"/>
    </row>
    <row r="29" spans="1:13" x14ac:dyDescent="0.25">
      <c r="J29" s="8"/>
      <c r="M29" s="8"/>
    </row>
  </sheetData>
  <phoneticPr fontId="0" type="noConversion"/>
  <pageMargins left="0.75" right="0.75" top="1" bottom="1" header="0.5" footer="0.5"/>
  <pageSetup scale="8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B1" workbookViewId="0">
      <selection activeCell="F6" sqref="F6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6" style="1" customWidth="1"/>
    <col min="7" max="7" width="11.28515625" style="1" customWidth="1"/>
    <col min="8" max="8" width="9" style="1" customWidth="1"/>
    <col min="9" max="9" width="12.28515625" style="1" customWidth="1"/>
    <col min="10" max="10" width="8.28515625" style="1" customWidth="1"/>
    <col min="11" max="11" width="12.7109375" style="1" customWidth="1"/>
    <col min="12" max="12" width="7.28515625" style="1" customWidth="1"/>
    <col min="13" max="13" width="10.7109375" style="1" customWidth="1"/>
    <col min="14" max="14" width="10.42578125" style="1" customWidth="1"/>
    <col min="15" max="16384" width="8.85546875" style="1"/>
  </cols>
  <sheetData>
    <row r="1" spans="1:14" x14ac:dyDescent="0.25">
      <c r="A1" s="2" t="s">
        <v>31</v>
      </c>
    </row>
    <row r="3" spans="1:14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35</v>
      </c>
      <c r="J3" s="2"/>
      <c r="K3" s="2"/>
      <c r="L3" s="2"/>
      <c r="M3" s="1" t="s">
        <v>33</v>
      </c>
      <c r="N3" s="1" t="s">
        <v>36</v>
      </c>
    </row>
    <row r="4" spans="1:14" x14ac:dyDescent="0.25">
      <c r="A4" s="1" t="s">
        <v>3</v>
      </c>
      <c r="B4" s="1" t="s">
        <v>1</v>
      </c>
      <c r="D4" s="1" t="s">
        <v>4</v>
      </c>
      <c r="E4" s="1" t="s">
        <v>5</v>
      </c>
      <c r="F4">
        <v>10</v>
      </c>
      <c r="G4" s="4" t="s">
        <v>26</v>
      </c>
      <c r="J4" s="1" t="s">
        <v>32</v>
      </c>
      <c r="K4" s="1" t="s">
        <v>28</v>
      </c>
      <c r="L4" s="1" t="s">
        <v>29</v>
      </c>
      <c r="M4" s="1" t="s">
        <v>34</v>
      </c>
    </row>
    <row r="5" spans="1:14" x14ac:dyDescent="0.25">
      <c r="D5" s="9">
        <v>0</v>
      </c>
      <c r="E5" s="8">
        <v>0</v>
      </c>
      <c r="F5">
        <v>9.6528453647141692</v>
      </c>
      <c r="G5" s="6">
        <f>E5+F5</f>
        <v>9.6528453647141692</v>
      </c>
      <c r="H5" s="8"/>
      <c r="I5" s="2">
        <v>0</v>
      </c>
      <c r="J5" s="2"/>
      <c r="K5" s="2"/>
      <c r="L5" s="2"/>
    </row>
    <row r="6" spans="1:14" x14ac:dyDescent="0.25">
      <c r="A6" s="2" t="s">
        <v>17</v>
      </c>
      <c r="B6" s="2">
        <v>0.2</v>
      </c>
      <c r="D6" s="2">
        <f t="shared" ref="D6:D17" si="0">D5+0.25</f>
        <v>0.25</v>
      </c>
      <c r="E6" s="8">
        <v>243.32</v>
      </c>
      <c r="F6">
        <v>-4.1029123586536285</v>
      </c>
      <c r="G6" s="6">
        <f t="shared" ref="G6:G17" si="1">E6+F6</f>
        <v>239.21708764134635</v>
      </c>
      <c r="H6" s="8"/>
      <c r="I6" s="8">
        <v>1212.3728742738808</v>
      </c>
      <c r="J6" s="2">
        <f>$B$6*I6</f>
        <v>242.47457485477617</v>
      </c>
      <c r="L6" s="2"/>
      <c r="M6" s="1">
        <f>SUM(J6:L6)</f>
        <v>242.47457485477617</v>
      </c>
      <c r="N6" s="1">
        <f>(G6-M6)^2</f>
        <v>10.611222945658721</v>
      </c>
    </row>
    <row r="7" spans="1:14" x14ac:dyDescent="0.25">
      <c r="A7" s="2" t="s">
        <v>18</v>
      </c>
      <c r="B7" s="2">
        <v>0.74</v>
      </c>
      <c r="D7" s="2">
        <f t="shared" si="0"/>
        <v>0.5</v>
      </c>
      <c r="E7" s="8">
        <v>1354.3440000000001</v>
      </c>
      <c r="F7">
        <v>2.6841748954084492</v>
      </c>
      <c r="G7" s="6">
        <f t="shared" si="1"/>
        <v>1357.0281748954085</v>
      </c>
      <c r="H7" s="8"/>
      <c r="I7" s="8">
        <v>2294.6230250138706</v>
      </c>
      <c r="J7" s="2">
        <f t="shared" ref="J7:J15" si="2">$B$6*I7</f>
        <v>458.92460500277411</v>
      </c>
      <c r="K7" s="7">
        <f>$B$7*I6</f>
        <v>897.15592696267186</v>
      </c>
      <c r="L7" s="2"/>
      <c r="M7" s="1">
        <f t="shared" ref="M7:M17" si="3">SUM(J7:L7)</f>
        <v>1356.080531965446</v>
      </c>
      <c r="N7" s="1">
        <f t="shared" ref="N7:N17" si="4">(G7-M7)^2</f>
        <v>0.89802712270793528</v>
      </c>
    </row>
    <row r="8" spans="1:14" x14ac:dyDescent="0.25">
      <c r="A8" s="2" t="s">
        <v>19</v>
      </c>
      <c r="B8" s="2">
        <v>0.18</v>
      </c>
      <c r="D8" s="2">
        <f t="shared" si="0"/>
        <v>0.75</v>
      </c>
      <c r="E8" s="8">
        <v>2139.33</v>
      </c>
      <c r="F8">
        <v>11.115978000957689</v>
      </c>
      <c r="G8" s="6">
        <f t="shared" si="1"/>
        <v>2150.4459780009574</v>
      </c>
      <c r="H8" s="8"/>
      <c r="I8" s="8">
        <v>1172.3641095483354</v>
      </c>
      <c r="J8" s="2">
        <f t="shared" si="2"/>
        <v>234.47282190966709</v>
      </c>
      <c r="K8" s="7">
        <f t="shared" ref="K8:K16" si="5">$B$7*I7</f>
        <v>1698.0210385102641</v>
      </c>
      <c r="L8" s="2">
        <f>$B$8*I6</f>
        <v>218.22711736929855</v>
      </c>
      <c r="M8" s="1">
        <f t="shared" si="3"/>
        <v>2150.7209777892299</v>
      </c>
      <c r="N8" s="1">
        <f t="shared" si="4"/>
        <v>7.5624883549893898E-2</v>
      </c>
    </row>
    <row r="9" spans="1:14" x14ac:dyDescent="0.25">
      <c r="D9" s="2">
        <f t="shared" si="0"/>
        <v>1</v>
      </c>
      <c r="E9" s="8">
        <v>1407.2179999999998</v>
      </c>
      <c r="F9">
        <v>-16.105909169069186</v>
      </c>
      <c r="G9" s="6">
        <f t="shared" si="1"/>
        <v>1391.1120908309306</v>
      </c>
      <c r="H9" s="8"/>
      <c r="I9" s="8">
        <v>552.25139255550812</v>
      </c>
      <c r="J9" s="2">
        <f t="shared" si="2"/>
        <v>110.45027851110163</v>
      </c>
      <c r="K9" s="7">
        <f t="shared" si="5"/>
        <v>867.54944106576818</v>
      </c>
      <c r="L9" s="2">
        <f t="shared" ref="L9:L17" si="6">$B$8*I7</f>
        <v>413.03214450249669</v>
      </c>
      <c r="M9" s="1">
        <f t="shared" si="3"/>
        <v>1391.0318640793664</v>
      </c>
      <c r="N9" s="1">
        <f t="shared" si="4"/>
        <v>6.4363316665388623E-3</v>
      </c>
    </row>
    <row r="10" spans="1:14" x14ac:dyDescent="0.25">
      <c r="D10" s="2">
        <f t="shared" si="0"/>
        <v>1.25</v>
      </c>
      <c r="E10" s="8">
        <v>668.75399999999991</v>
      </c>
      <c r="F10">
        <v>-1.6587224009655299</v>
      </c>
      <c r="G10" s="6">
        <f t="shared" si="1"/>
        <v>667.09527759903438</v>
      </c>
      <c r="H10" s="8"/>
      <c r="I10" s="8">
        <v>237.13230313448122</v>
      </c>
      <c r="J10" s="2">
        <f t="shared" si="2"/>
        <v>47.426460626896244</v>
      </c>
      <c r="K10" s="7">
        <f t="shared" si="5"/>
        <v>408.66603049107601</v>
      </c>
      <c r="L10" s="2">
        <f t="shared" si="6"/>
        <v>211.02553971870034</v>
      </c>
      <c r="M10" s="1">
        <f t="shared" si="3"/>
        <v>667.11803083667257</v>
      </c>
      <c r="N10" s="1">
        <f t="shared" si="4"/>
        <v>5.1770982302034186E-4</v>
      </c>
    </row>
    <row r="11" spans="1:14" x14ac:dyDescent="0.25">
      <c r="D11" s="2">
        <f t="shared" si="0"/>
        <v>1.5</v>
      </c>
      <c r="E11" s="8">
        <v>298.25400000000002</v>
      </c>
      <c r="F11">
        <v>2.1836276244779005</v>
      </c>
      <c r="G11" s="6">
        <f t="shared" si="1"/>
        <v>300.4376276244779</v>
      </c>
      <c r="H11" s="8"/>
      <c r="I11" s="8">
        <v>127.7412634502892</v>
      </c>
      <c r="J11" s="2">
        <f t="shared" si="2"/>
        <v>25.54825269005784</v>
      </c>
      <c r="K11" s="7">
        <f t="shared" si="5"/>
        <v>175.47790431951611</v>
      </c>
      <c r="L11" s="2">
        <f t="shared" si="6"/>
        <v>99.405250659991452</v>
      </c>
      <c r="M11" s="1">
        <f t="shared" si="3"/>
        <v>300.43140766956537</v>
      </c>
      <c r="N11" s="1">
        <f t="shared" si="4"/>
        <v>3.8687839113830412E-5</v>
      </c>
    </row>
    <row r="12" spans="1:14" x14ac:dyDescent="0.25">
      <c r="D12" s="2">
        <f t="shared" si="0"/>
        <v>1.75</v>
      </c>
      <c r="E12" s="8">
        <v>138.85400000000001</v>
      </c>
      <c r="F12">
        <v>6.8361627911494605</v>
      </c>
      <c r="G12" s="6">
        <f t="shared" si="1"/>
        <v>145.69016279114948</v>
      </c>
      <c r="H12" s="8"/>
      <c r="I12" s="8">
        <v>42.386418179434528</v>
      </c>
      <c r="J12" s="2">
        <f t="shared" si="2"/>
        <v>8.4772836358869057</v>
      </c>
      <c r="K12" s="7">
        <f t="shared" si="5"/>
        <v>94.528534953214006</v>
      </c>
      <c r="L12" s="2">
        <f t="shared" si="6"/>
        <v>42.683814564206621</v>
      </c>
      <c r="M12" s="1">
        <f t="shared" si="3"/>
        <v>145.68963315330754</v>
      </c>
      <c r="N12" s="1">
        <f t="shared" si="4"/>
        <v>2.805162436105567E-7</v>
      </c>
    </row>
    <row r="13" spans="1:14" x14ac:dyDescent="0.25">
      <c r="D13" s="2">
        <f t="shared" si="0"/>
        <v>2</v>
      </c>
      <c r="E13" s="8">
        <v>64.010000000000005</v>
      </c>
      <c r="F13">
        <v>-5.921460276619138</v>
      </c>
      <c r="G13" s="6">
        <f t="shared" si="1"/>
        <v>58.088539723380869</v>
      </c>
      <c r="H13" s="8"/>
      <c r="I13" s="8">
        <v>18.689089224892445</v>
      </c>
      <c r="J13" s="2">
        <f t="shared" si="2"/>
        <v>3.7378178449784891</v>
      </c>
      <c r="K13" s="7">
        <f t="shared" si="5"/>
        <v>31.36594945278155</v>
      </c>
      <c r="L13" s="2">
        <f t="shared" si="6"/>
        <v>22.993427421052054</v>
      </c>
      <c r="M13" s="1">
        <f t="shared" si="3"/>
        <v>58.097194718812091</v>
      </c>
      <c r="N13" s="1">
        <f t="shared" si="4"/>
        <v>7.4908945914470837E-5</v>
      </c>
    </row>
    <row r="14" spans="1:14" x14ac:dyDescent="0.25">
      <c r="D14" s="2">
        <f t="shared" si="0"/>
        <v>2.25</v>
      </c>
      <c r="E14" s="8">
        <v>28.811999999999998</v>
      </c>
      <c r="F14">
        <v>-4.3289002476475584</v>
      </c>
      <c r="G14" s="6">
        <f t="shared" si="1"/>
        <v>24.483099752352437</v>
      </c>
      <c r="H14" s="8"/>
      <c r="I14" s="8">
        <v>14.939098211958045</v>
      </c>
      <c r="J14" s="2">
        <f t="shared" si="2"/>
        <v>2.9878196423916092</v>
      </c>
      <c r="K14" s="7">
        <f t="shared" si="5"/>
        <v>13.829926026420409</v>
      </c>
      <c r="L14" s="2">
        <f t="shared" si="6"/>
        <v>7.629555272298215</v>
      </c>
      <c r="M14" s="1">
        <f t="shared" si="3"/>
        <v>24.447300941110235</v>
      </c>
      <c r="N14" s="1">
        <f t="shared" si="4"/>
        <v>1.2815548863548138E-3</v>
      </c>
    </row>
    <row r="15" spans="1:14" x14ac:dyDescent="0.25">
      <c r="D15" s="2">
        <f t="shared" si="0"/>
        <v>2.5</v>
      </c>
      <c r="E15" s="8">
        <v>12.597799999999999</v>
      </c>
      <c r="F15">
        <v>0.71255772192557243</v>
      </c>
      <c r="G15" s="6">
        <f t="shared" si="1"/>
        <v>13.310357721925572</v>
      </c>
      <c r="H15" s="8"/>
      <c r="I15" s="8">
        <v>-4.8567267105903413</v>
      </c>
      <c r="J15" s="2">
        <f t="shared" si="2"/>
        <v>-0.97134534211806833</v>
      </c>
      <c r="K15" s="7">
        <f t="shared" si="5"/>
        <v>11.054932676848953</v>
      </c>
      <c r="L15" s="2">
        <f t="shared" si="6"/>
        <v>3.3640360604806401</v>
      </c>
      <c r="M15" s="1">
        <f t="shared" si="3"/>
        <v>13.447623395211524</v>
      </c>
      <c r="N15" s="1">
        <f t="shared" si="4"/>
        <v>1.884186506264586E-2</v>
      </c>
    </row>
    <row r="16" spans="1:14" x14ac:dyDescent="0.25">
      <c r="D16" s="2">
        <f t="shared" si="0"/>
        <v>2.75</v>
      </c>
      <c r="E16" s="8">
        <v>6.3475999999999999</v>
      </c>
      <c r="F16">
        <v>-6.7281358232936475</v>
      </c>
      <c r="G16" s="6">
        <f t="shared" si="1"/>
        <v>-0.38053582329364755</v>
      </c>
      <c r="H16" s="8"/>
      <c r="I16" s="8"/>
      <c r="J16" s="2"/>
      <c r="K16" s="7">
        <f t="shared" si="5"/>
        <v>-3.5939777658368524</v>
      </c>
      <c r="L16" s="2">
        <f t="shared" si="6"/>
        <v>2.6890376781524479</v>
      </c>
      <c r="M16" s="1">
        <f t="shared" si="3"/>
        <v>-0.90494008768440448</v>
      </c>
      <c r="N16" s="1">
        <f t="shared" si="4"/>
        <v>0.27499983251121091</v>
      </c>
    </row>
    <row r="17" spans="1:14" x14ac:dyDescent="0.25">
      <c r="A17" s="2"/>
      <c r="D17" s="2">
        <f t="shared" si="0"/>
        <v>3</v>
      </c>
      <c r="E17" s="8">
        <v>1.125</v>
      </c>
      <c r="F17" s="2">
        <v>-4.0020742328429257</v>
      </c>
      <c r="G17" s="6">
        <f t="shared" si="1"/>
        <v>-2.8770742328429257</v>
      </c>
      <c r="H17" s="8"/>
      <c r="I17" s="8"/>
      <c r="J17" s="2"/>
      <c r="K17" s="8"/>
      <c r="L17" s="2">
        <f t="shared" si="6"/>
        <v>-0.87421080790626138</v>
      </c>
      <c r="M17" s="1">
        <f t="shared" si="3"/>
        <v>-0.87421080790626138</v>
      </c>
      <c r="N17" s="1">
        <f t="shared" si="4"/>
        <v>4.0114618989490243</v>
      </c>
    </row>
    <row r="18" spans="1:14" x14ac:dyDescent="0.25">
      <c r="D18" s="2"/>
      <c r="E18" s="5"/>
      <c r="G18" s="9"/>
      <c r="H18" s="8"/>
      <c r="I18" s="8"/>
      <c r="J18" s="8"/>
      <c r="L18" s="2"/>
      <c r="M18" s="8"/>
    </row>
    <row r="19" spans="1:14" x14ac:dyDescent="0.25">
      <c r="D19" s="2"/>
      <c r="F19" s="2"/>
      <c r="G19" s="9"/>
      <c r="H19" s="8"/>
      <c r="I19" s="8"/>
      <c r="J19" s="8"/>
      <c r="L19" s="2"/>
      <c r="M19" s="8" t="s">
        <v>37</v>
      </c>
      <c r="N19" s="1">
        <f>SUM(N6:N17)</f>
        <v>15.898528022116615</v>
      </c>
    </row>
    <row r="20" spans="1:14" x14ac:dyDescent="0.25">
      <c r="D20" s="2"/>
      <c r="G20" s="9"/>
      <c r="H20" s="8"/>
      <c r="I20" s="8"/>
      <c r="J20" s="8"/>
      <c r="M20" s="8"/>
    </row>
    <row r="21" spans="1:14" x14ac:dyDescent="0.25">
      <c r="A21" s="2"/>
      <c r="D21" s="2"/>
      <c r="G21" s="9"/>
      <c r="H21" s="8"/>
      <c r="I21" s="8"/>
      <c r="J21" s="8"/>
      <c r="M21" s="8"/>
    </row>
    <row r="22" spans="1:14" x14ac:dyDescent="0.25">
      <c r="D22" s="2"/>
      <c r="G22" s="9"/>
      <c r="H22" s="8"/>
      <c r="I22" s="8"/>
      <c r="J22" s="8"/>
      <c r="M22" s="8"/>
    </row>
    <row r="23" spans="1:14" x14ac:dyDescent="0.25">
      <c r="B23" s="3"/>
      <c r="D23" s="2"/>
      <c r="G23" s="9"/>
      <c r="H23" s="8"/>
      <c r="I23" s="8"/>
      <c r="J23" s="8"/>
      <c r="M23" s="8"/>
    </row>
    <row r="24" spans="1:14" x14ac:dyDescent="0.25">
      <c r="D24" s="2"/>
      <c r="G24" s="9"/>
      <c r="H24" s="8"/>
      <c r="I24" s="8"/>
      <c r="J24" s="8"/>
      <c r="M24" s="8"/>
    </row>
    <row r="25" spans="1:14" x14ac:dyDescent="0.25">
      <c r="A25" s="2"/>
      <c r="D25" s="2"/>
      <c r="G25" s="9"/>
      <c r="H25" s="8"/>
      <c r="I25" s="8"/>
      <c r="J25" s="8"/>
      <c r="M25" s="8"/>
    </row>
    <row r="26" spans="1:14" x14ac:dyDescent="0.25">
      <c r="I26" s="8"/>
      <c r="J26" s="8"/>
      <c r="M26" s="8"/>
    </row>
    <row r="27" spans="1:14" x14ac:dyDescent="0.25">
      <c r="B27" s="2"/>
      <c r="D27" s="10"/>
      <c r="I27" s="8"/>
      <c r="J27" s="8"/>
      <c r="M27" s="8"/>
    </row>
    <row r="28" spans="1:14" x14ac:dyDescent="0.25">
      <c r="J28" s="8"/>
      <c r="M28" s="8"/>
    </row>
    <row r="29" spans="1:14" x14ac:dyDescent="0.25">
      <c r="J29" s="8"/>
      <c r="M29" s="8"/>
    </row>
  </sheetData>
  <phoneticPr fontId="0" type="noConversion"/>
  <pageMargins left="0.75" right="0.75" top="1" bottom="1" header="0.5" footer="0.5"/>
  <pageSetup scale="80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" workbookViewId="0">
      <selection activeCell="I20" sqref="I20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6" style="1" customWidth="1"/>
    <col min="7" max="7" width="11.28515625" style="1" customWidth="1"/>
    <col min="8" max="8" width="9" style="1" customWidth="1"/>
    <col min="9" max="9" width="15" style="1" customWidth="1"/>
    <col min="10" max="10" width="8.28515625" style="1" customWidth="1"/>
    <col min="11" max="11" width="12.7109375" style="1" customWidth="1"/>
    <col min="12" max="12" width="7.28515625" style="1" customWidth="1"/>
    <col min="13" max="13" width="10.7109375" style="1" customWidth="1"/>
    <col min="14" max="14" width="10.42578125" style="1" customWidth="1"/>
    <col min="15" max="16384" width="8.85546875" style="1"/>
  </cols>
  <sheetData>
    <row r="1" spans="1:16" x14ac:dyDescent="0.25">
      <c r="A1" s="2" t="s">
        <v>38</v>
      </c>
    </row>
    <row r="3" spans="1:16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35</v>
      </c>
      <c r="J3" s="2"/>
      <c r="K3" s="2"/>
      <c r="L3" s="2"/>
      <c r="M3" s="1" t="s">
        <v>33</v>
      </c>
    </row>
    <row r="4" spans="1:16" x14ac:dyDescent="0.25">
      <c r="A4" s="1" t="s">
        <v>3</v>
      </c>
      <c r="B4" s="1" t="s">
        <v>1</v>
      </c>
      <c r="D4" s="1" t="s">
        <v>4</v>
      </c>
      <c r="E4" s="1" t="s">
        <v>5</v>
      </c>
      <c r="G4" s="4" t="s">
        <v>26</v>
      </c>
      <c r="J4" s="1" t="s">
        <v>32</v>
      </c>
      <c r="K4" s="1" t="s">
        <v>28</v>
      </c>
      <c r="L4" s="1" t="s">
        <v>29</v>
      </c>
      <c r="M4" s="1" t="s">
        <v>34</v>
      </c>
    </row>
    <row r="5" spans="1:16" x14ac:dyDescent="0.25">
      <c r="D5" s="9">
        <v>0</v>
      </c>
      <c r="E5" s="8">
        <v>0</v>
      </c>
      <c r="F5" s="11">
        <v>0</v>
      </c>
      <c r="G5" s="6">
        <f t="shared" ref="G5:G17" si="0">E5+F5</f>
        <v>0</v>
      </c>
      <c r="H5" s="8"/>
      <c r="I5" s="2">
        <v>0</v>
      </c>
      <c r="J5" s="2"/>
      <c r="K5" s="2"/>
      <c r="L5" s="2"/>
      <c r="M5" s="1" t="s">
        <v>39</v>
      </c>
      <c r="N5" s="1" t="s">
        <v>40</v>
      </c>
      <c r="O5" s="1" t="s">
        <v>41</v>
      </c>
      <c r="P5" s="1" t="s">
        <v>42</v>
      </c>
    </row>
    <row r="6" spans="1:16" x14ac:dyDescent="0.25">
      <c r="A6" s="2" t="s">
        <v>17</v>
      </c>
      <c r="B6" s="2">
        <v>0.2</v>
      </c>
      <c r="D6" s="2">
        <f t="shared" ref="D6:D17" si="1">D5+0.25</f>
        <v>0.25</v>
      </c>
      <c r="E6" s="8">
        <v>243.32</v>
      </c>
      <c r="F6">
        <v>7.1004251367412508</v>
      </c>
      <c r="G6" s="6">
        <f t="shared" si="0"/>
        <v>250.42042513674124</v>
      </c>
      <c r="H6" s="8"/>
      <c r="I6" s="6">
        <v>1224.7836421481857</v>
      </c>
      <c r="J6" s="2">
        <f>$B$6*I6</f>
        <v>244.95672842963714</v>
      </c>
      <c r="L6" s="2"/>
      <c r="M6" s="1">
        <f>J6+K6+L6</f>
        <v>244.95672842963714</v>
      </c>
      <c r="N6" s="1">
        <v>0</v>
      </c>
      <c r="O6" s="1">
        <v>5.4636967071180829</v>
      </c>
      <c r="P6" s="1">
        <f>M6-N6+O6</f>
        <v>250.42042513675523</v>
      </c>
    </row>
    <row r="7" spans="1:16" x14ac:dyDescent="0.25">
      <c r="A7" s="2" t="s">
        <v>18</v>
      </c>
      <c r="B7" s="2">
        <v>0.74</v>
      </c>
      <c r="D7" s="2">
        <f t="shared" si="1"/>
        <v>0.5</v>
      </c>
      <c r="E7" s="8">
        <v>1354.3440000000001</v>
      </c>
      <c r="F7">
        <v>1.8082573660649359</v>
      </c>
      <c r="G7" s="6">
        <f t="shared" si="0"/>
        <v>1356.152257366065</v>
      </c>
      <c r="H7" s="8"/>
      <c r="I7" s="6">
        <v>2275.3221412426983</v>
      </c>
      <c r="J7" s="2">
        <f t="shared" ref="J7:J15" si="2">$B$6*I7</f>
        <v>455.06442824853968</v>
      </c>
      <c r="K7" s="7">
        <f>$B$7*I6</f>
        <v>906.33989518965734</v>
      </c>
      <c r="L7" s="2"/>
      <c r="M7" s="1">
        <f t="shared" ref="M7:M18" si="3">J7+K7+L7</f>
        <v>1361.404323438197</v>
      </c>
      <c r="N7" s="1">
        <v>5.252066072246377</v>
      </c>
      <c r="O7" s="1">
        <v>0</v>
      </c>
      <c r="P7" s="1">
        <f t="shared" ref="P7:P17" si="4">M7-N7+O7</f>
        <v>1356.1522573659506</v>
      </c>
    </row>
    <row r="8" spans="1:16" x14ac:dyDescent="0.25">
      <c r="A8" s="2" t="s">
        <v>19</v>
      </c>
      <c r="B8" s="2">
        <v>0.18</v>
      </c>
      <c r="D8" s="2">
        <f t="shared" si="1"/>
        <v>0.75</v>
      </c>
      <c r="E8" s="8">
        <v>2139.33</v>
      </c>
      <c r="F8">
        <v>4.1681232687551528</v>
      </c>
      <c r="G8" s="6">
        <f t="shared" si="0"/>
        <v>2143.4981232687551</v>
      </c>
      <c r="H8" s="8"/>
      <c r="I8" s="6">
        <v>1196.4934158118269</v>
      </c>
      <c r="J8" s="2">
        <f t="shared" si="2"/>
        <v>239.29868316236539</v>
      </c>
      <c r="K8" s="7">
        <f t="shared" ref="K8:K16" si="5">$B$7*I7</f>
        <v>1683.7383845195968</v>
      </c>
      <c r="L8" s="2">
        <f>$B$8*I6</f>
        <v>220.46105558667341</v>
      </c>
      <c r="M8" s="1">
        <f t="shared" si="3"/>
        <v>2143.4981232686359</v>
      </c>
      <c r="N8" s="1">
        <v>0</v>
      </c>
      <c r="O8" s="1">
        <v>0</v>
      </c>
      <c r="P8" s="1">
        <f t="shared" si="4"/>
        <v>2143.4981232686359</v>
      </c>
    </row>
    <row r="9" spans="1:16" x14ac:dyDescent="0.25">
      <c r="D9" s="2">
        <f t="shared" si="1"/>
        <v>1</v>
      </c>
      <c r="E9" s="8">
        <v>1407.2179999999998</v>
      </c>
      <c r="F9">
        <v>-1.1555812307051383</v>
      </c>
      <c r="G9" s="6">
        <f t="shared" si="0"/>
        <v>1406.0624187692947</v>
      </c>
      <c r="H9" s="8"/>
      <c r="I9" s="6">
        <v>555.4965282240122</v>
      </c>
      <c r="J9" s="2">
        <f t="shared" si="2"/>
        <v>111.09930564480244</v>
      </c>
      <c r="K9" s="7">
        <f t="shared" si="5"/>
        <v>885.4051277007519</v>
      </c>
      <c r="L9" s="2">
        <f t="shared" ref="L9:L17" si="6">$B$8*I7</f>
        <v>409.55798542368569</v>
      </c>
      <c r="M9" s="1">
        <f t="shared" si="3"/>
        <v>1406.0624187692401</v>
      </c>
      <c r="N9" s="1">
        <v>0</v>
      </c>
      <c r="O9" s="1">
        <v>0</v>
      </c>
      <c r="P9" s="1">
        <f t="shared" si="4"/>
        <v>1406.0624187692401</v>
      </c>
    </row>
    <row r="10" spans="1:16" x14ac:dyDescent="0.25">
      <c r="D10" s="2">
        <f t="shared" si="1"/>
        <v>1.25</v>
      </c>
      <c r="E10" s="8">
        <v>668.75399999999991</v>
      </c>
      <c r="F10">
        <v>3.7201175473455805</v>
      </c>
      <c r="G10" s="6">
        <f t="shared" si="0"/>
        <v>672.47411754734549</v>
      </c>
      <c r="H10" s="8"/>
      <c r="I10" s="6">
        <v>230.18935907746018</v>
      </c>
      <c r="J10" s="2">
        <f t="shared" si="2"/>
        <v>46.037871815492039</v>
      </c>
      <c r="K10" s="7">
        <f t="shared" si="5"/>
        <v>411.067430885769</v>
      </c>
      <c r="L10" s="2">
        <f t="shared" si="6"/>
        <v>215.36881484612883</v>
      </c>
      <c r="M10" s="1">
        <f t="shared" si="3"/>
        <v>672.47411754738982</v>
      </c>
      <c r="N10" s="1">
        <v>0</v>
      </c>
      <c r="O10" s="1">
        <v>0</v>
      </c>
      <c r="P10" s="1">
        <f t="shared" si="4"/>
        <v>672.47411754738982</v>
      </c>
    </row>
    <row r="11" spans="1:16" x14ac:dyDescent="0.25">
      <c r="D11" s="2">
        <f t="shared" si="1"/>
        <v>1.5</v>
      </c>
      <c r="E11" s="8">
        <v>298.25400000000002</v>
      </c>
      <c r="F11">
        <v>-2.8405224838934373</v>
      </c>
      <c r="G11" s="6">
        <f t="shared" si="0"/>
        <v>295.41347751610658</v>
      </c>
      <c r="H11" s="8"/>
      <c r="I11" s="6">
        <v>125.41988359229865</v>
      </c>
      <c r="J11" s="2">
        <f t="shared" si="2"/>
        <v>25.083976718459731</v>
      </c>
      <c r="K11" s="7">
        <f t="shared" si="5"/>
        <v>170.34012571732055</v>
      </c>
      <c r="L11" s="2">
        <f t="shared" si="6"/>
        <v>99.989375080322191</v>
      </c>
      <c r="M11" s="1">
        <f t="shared" si="3"/>
        <v>295.41347751610249</v>
      </c>
      <c r="N11" s="1">
        <v>0</v>
      </c>
      <c r="O11" s="1">
        <v>0</v>
      </c>
      <c r="P11" s="1">
        <f t="shared" si="4"/>
        <v>295.41347751610249</v>
      </c>
    </row>
    <row r="12" spans="1:16" x14ac:dyDescent="0.25">
      <c r="D12" s="2">
        <f t="shared" si="1"/>
        <v>1.75</v>
      </c>
      <c r="E12" s="8">
        <v>138.85400000000001</v>
      </c>
      <c r="F12">
        <v>5.6548856264271308</v>
      </c>
      <c r="G12" s="6">
        <f t="shared" si="0"/>
        <v>144.50888562642714</v>
      </c>
      <c r="H12" s="8"/>
      <c r="I12" s="6">
        <v>51.320435670917135</v>
      </c>
      <c r="J12" s="2">
        <f t="shared" si="2"/>
        <v>10.264087134183427</v>
      </c>
      <c r="K12" s="7">
        <f t="shared" si="5"/>
        <v>92.810713858301</v>
      </c>
      <c r="L12" s="2">
        <f t="shared" si="6"/>
        <v>41.434084633942831</v>
      </c>
      <c r="M12" s="1">
        <f t="shared" si="3"/>
        <v>144.50888562642726</v>
      </c>
      <c r="N12" s="1">
        <v>0</v>
      </c>
      <c r="O12" s="1">
        <v>0</v>
      </c>
      <c r="P12" s="1">
        <f t="shared" si="4"/>
        <v>144.50888562642726</v>
      </c>
    </row>
    <row r="13" spans="1:16" x14ac:dyDescent="0.25">
      <c r="D13" s="2">
        <f t="shared" si="1"/>
        <v>2</v>
      </c>
      <c r="E13" s="8">
        <v>64.010000000000005</v>
      </c>
      <c r="F13">
        <v>-0.8197048373403959</v>
      </c>
      <c r="G13" s="6">
        <f t="shared" si="0"/>
        <v>63.190295162659609</v>
      </c>
      <c r="H13" s="8"/>
      <c r="I13" s="6">
        <v>13.187968597835789</v>
      </c>
      <c r="J13" s="2">
        <f t="shared" si="2"/>
        <v>2.6375937195671582</v>
      </c>
      <c r="K13" s="7">
        <f t="shared" si="5"/>
        <v>37.977122396478677</v>
      </c>
      <c r="L13" s="2">
        <f t="shared" si="6"/>
        <v>22.575579046613754</v>
      </c>
      <c r="M13" s="1">
        <f t="shared" si="3"/>
        <v>63.190295162659588</v>
      </c>
      <c r="N13" s="1">
        <v>0</v>
      </c>
      <c r="O13" s="1">
        <v>0</v>
      </c>
      <c r="P13" s="1">
        <f t="shared" si="4"/>
        <v>63.190295162659588</v>
      </c>
    </row>
    <row r="14" spans="1:16" x14ac:dyDescent="0.25">
      <c r="D14" s="2">
        <f t="shared" si="1"/>
        <v>2.25</v>
      </c>
      <c r="E14" s="8">
        <v>28.811999999999998</v>
      </c>
      <c r="F14">
        <v>-4.6600689529441297</v>
      </c>
      <c r="G14" s="6">
        <f t="shared" si="0"/>
        <v>24.151931047055868</v>
      </c>
      <c r="H14" s="8"/>
      <c r="I14" s="6">
        <v>25.775779319461517</v>
      </c>
      <c r="J14" s="2">
        <f t="shared" si="2"/>
        <v>5.1551558638923041</v>
      </c>
      <c r="K14" s="7">
        <f t="shared" si="5"/>
        <v>9.7590967623984834</v>
      </c>
      <c r="L14" s="2">
        <f t="shared" si="6"/>
        <v>9.2376784207650839</v>
      </c>
      <c r="M14" s="1">
        <f t="shared" si="3"/>
        <v>24.151931047055871</v>
      </c>
      <c r="N14" s="1">
        <v>0</v>
      </c>
      <c r="O14" s="1">
        <v>0</v>
      </c>
      <c r="P14" s="1">
        <f t="shared" si="4"/>
        <v>24.151931047055871</v>
      </c>
    </row>
    <row r="15" spans="1:16" x14ac:dyDescent="0.25">
      <c r="D15" s="2">
        <f t="shared" si="1"/>
        <v>2.5</v>
      </c>
      <c r="E15" s="8">
        <v>12.597799999999999</v>
      </c>
      <c r="F15">
        <v>8.8501110440120101</v>
      </c>
      <c r="G15" s="6">
        <f t="shared" si="0"/>
        <v>21.44791104401201</v>
      </c>
      <c r="H15" s="8"/>
      <c r="I15" s="6">
        <v>0</v>
      </c>
      <c r="J15" s="2">
        <f t="shared" si="2"/>
        <v>0</v>
      </c>
      <c r="K15" s="7">
        <f t="shared" si="5"/>
        <v>19.074076696401523</v>
      </c>
      <c r="L15" s="2">
        <f t="shared" si="6"/>
        <v>2.3738343476104422</v>
      </c>
      <c r="M15" s="1">
        <f t="shared" si="3"/>
        <v>21.447911044011967</v>
      </c>
      <c r="N15" s="1">
        <v>0</v>
      </c>
      <c r="O15" s="1">
        <v>0</v>
      </c>
      <c r="P15" s="1">
        <f t="shared" si="4"/>
        <v>21.447911044011967</v>
      </c>
    </row>
    <row r="16" spans="1:16" x14ac:dyDescent="0.25">
      <c r="D16" s="2">
        <f t="shared" si="1"/>
        <v>2.75</v>
      </c>
      <c r="E16" s="8">
        <v>6.3475999999999999</v>
      </c>
      <c r="F16">
        <v>-4.9639652388577815</v>
      </c>
      <c r="G16" s="6">
        <f t="shared" si="0"/>
        <v>1.3836347611422184</v>
      </c>
      <c r="H16" s="8"/>
      <c r="I16" s="8"/>
      <c r="J16" s="2"/>
      <c r="K16" s="7">
        <f t="shared" si="5"/>
        <v>0</v>
      </c>
      <c r="L16" s="2">
        <f t="shared" si="6"/>
        <v>4.639640277503073</v>
      </c>
      <c r="M16" s="1">
        <f t="shared" si="3"/>
        <v>4.639640277503073</v>
      </c>
      <c r="N16" s="1">
        <v>3.2560055163608532</v>
      </c>
      <c r="O16" s="1">
        <v>0</v>
      </c>
      <c r="P16" s="1">
        <f t="shared" si="4"/>
        <v>1.3836347611422197</v>
      </c>
    </row>
    <row r="17" spans="1:16" x14ac:dyDescent="0.25">
      <c r="A17" s="2"/>
      <c r="D17" s="2">
        <f t="shared" si="1"/>
        <v>3</v>
      </c>
      <c r="E17" s="8">
        <v>1.125</v>
      </c>
      <c r="F17">
        <v>1.9193748812540434</v>
      </c>
      <c r="G17" s="6">
        <f t="shared" si="0"/>
        <v>3.0443748812540434</v>
      </c>
      <c r="H17" s="8"/>
      <c r="I17" s="8"/>
      <c r="J17" s="2"/>
      <c r="K17" s="8"/>
      <c r="L17" s="2">
        <f t="shared" si="6"/>
        <v>0</v>
      </c>
      <c r="M17" s="1">
        <f t="shared" si="3"/>
        <v>0</v>
      </c>
      <c r="N17" s="1">
        <v>0</v>
      </c>
      <c r="O17" s="1">
        <v>3.0443748812540434</v>
      </c>
      <c r="P17" s="1">
        <f t="shared" si="4"/>
        <v>3.0443748812540434</v>
      </c>
    </row>
    <row r="18" spans="1:16" x14ac:dyDescent="0.25">
      <c r="D18" s="2"/>
      <c r="E18" s="5"/>
      <c r="F18" s="2"/>
      <c r="H18" s="12" t="s">
        <v>37</v>
      </c>
      <c r="I18" s="8">
        <f>I15+I14+I13+I12+I11+I10+I9+I8+I7+I6</f>
        <v>5697.9891536846972</v>
      </c>
      <c r="J18" s="8"/>
      <c r="L18" s="2"/>
    </row>
    <row r="19" spans="1:16" x14ac:dyDescent="0.25">
      <c r="A19" s="1" t="s">
        <v>37</v>
      </c>
      <c r="B19" s="1">
        <f>SUM(B6:B8)</f>
        <v>1.1199999999999999</v>
      </c>
      <c r="D19" s="2"/>
      <c r="E19" s="2" t="s">
        <v>37</v>
      </c>
      <c r="G19" s="8">
        <f>SUM(G5:G17)</f>
        <v>6381.7478521268586</v>
      </c>
      <c r="H19" s="12" t="s">
        <v>44</v>
      </c>
      <c r="I19" s="14">
        <v>900</v>
      </c>
      <c r="J19" s="8" t="s">
        <v>45</v>
      </c>
      <c r="L19" s="2"/>
      <c r="M19" s="8" t="s">
        <v>43</v>
      </c>
      <c r="N19" s="1">
        <f>N6+N7+N8+N9+N10+N11+N12+N13+N14+N15+N16+N17+O17+O16+O15+O14+O13+O12+O11+O10+O9+O8+O7+O6</f>
        <v>17.016143176979355</v>
      </c>
    </row>
    <row r="20" spans="1:16" x14ac:dyDescent="0.25">
      <c r="D20" s="2"/>
      <c r="E20" s="1" t="s">
        <v>46</v>
      </c>
      <c r="G20" s="9">
        <f>G19/B19</f>
        <v>5697.9891536846953</v>
      </c>
      <c r="H20" s="15" t="s">
        <v>47</v>
      </c>
      <c r="I20" s="13">
        <f>G20*I19*12</f>
        <v>61538282.859794706</v>
      </c>
      <c r="J20" s="1" t="s">
        <v>14</v>
      </c>
      <c r="M20" s="8"/>
    </row>
    <row r="21" spans="1:16" x14ac:dyDescent="0.25">
      <c r="A21" s="2"/>
      <c r="D21" s="2"/>
      <c r="E21" s="12"/>
      <c r="F21" s="21"/>
      <c r="G21" s="21"/>
      <c r="H21" s="15" t="s">
        <v>48</v>
      </c>
      <c r="I21" s="4">
        <f>I20/(12*I19)</f>
        <v>5697.9891536846953</v>
      </c>
      <c r="J21" s="8"/>
      <c r="K21" s="6"/>
      <c r="M21" s="8"/>
    </row>
    <row r="22" spans="1:16" x14ac:dyDescent="0.25">
      <c r="D22" s="2"/>
      <c r="G22" s="9"/>
      <c r="H22" s="8"/>
      <c r="I22" s="8"/>
      <c r="J22" s="8"/>
      <c r="K22" s="6"/>
      <c r="M22" s="8"/>
    </row>
    <row r="23" spans="1:16" x14ac:dyDescent="0.25">
      <c r="B23" s="3"/>
      <c r="D23" s="2"/>
      <c r="G23" s="9"/>
      <c r="H23" s="8"/>
      <c r="I23" s="8"/>
      <c r="J23" s="8"/>
      <c r="K23" s="6"/>
      <c r="M23" s="8"/>
    </row>
    <row r="24" spans="1:16" x14ac:dyDescent="0.25">
      <c r="D24" s="2"/>
      <c r="G24" s="9"/>
      <c r="H24" s="8"/>
      <c r="I24" s="8"/>
      <c r="J24" s="8"/>
      <c r="K24" s="6"/>
      <c r="M24" s="8"/>
    </row>
    <row r="25" spans="1:16" x14ac:dyDescent="0.25">
      <c r="A25" s="2"/>
      <c r="D25" s="2"/>
      <c r="G25" s="9"/>
      <c r="H25" s="8"/>
      <c r="I25" s="8"/>
      <c r="J25" s="8"/>
      <c r="K25" s="6"/>
      <c r="M25" s="8"/>
    </row>
    <row r="26" spans="1:16" x14ac:dyDescent="0.25">
      <c r="I26" s="8"/>
      <c r="J26" s="8"/>
      <c r="K26" s="6"/>
      <c r="M26" s="8"/>
    </row>
    <row r="27" spans="1:16" x14ac:dyDescent="0.25">
      <c r="B27" s="2"/>
      <c r="D27" s="10"/>
      <c r="I27" s="8"/>
      <c r="J27" s="8"/>
      <c r="K27" s="6"/>
      <c r="M27" s="8"/>
    </row>
    <row r="28" spans="1:16" x14ac:dyDescent="0.25">
      <c r="J28" s="8"/>
      <c r="K28" s="6"/>
      <c r="M28" s="8"/>
    </row>
    <row r="29" spans="1:16" x14ac:dyDescent="0.25">
      <c r="J29" s="8"/>
      <c r="K29" s="6"/>
      <c r="M29" s="8"/>
    </row>
    <row r="30" spans="1:16" x14ac:dyDescent="0.25">
      <c r="K30" s="6"/>
    </row>
    <row r="31" spans="1:16" x14ac:dyDescent="0.25">
      <c r="K31" s="6"/>
    </row>
  </sheetData>
  <mergeCells count="1">
    <mergeCell ref="F21:G21"/>
  </mergeCells>
  <phoneticPr fontId="0" type="noConversion"/>
  <pageMargins left="0.75" right="0.75" top="1" bottom="1" header="0.5" footer="0.5"/>
  <pageSetup scale="71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SCS Unit Hydrograph</vt:lpstr>
      <vt:lpstr>deconvolution</vt:lpstr>
      <vt:lpstr>Least Squares</vt:lpstr>
      <vt:lpstr>Linear prog</vt:lpstr>
    </vt:vector>
  </TitlesOfParts>
  <Company>UTAH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 Example</dc:title>
  <dc:creator>U Lall</dc:creator>
  <cp:lastModifiedBy>David Tarboton</cp:lastModifiedBy>
  <cp:lastPrinted>1999-11-16T16:23:42Z</cp:lastPrinted>
  <dcterms:created xsi:type="dcterms:W3CDTF">1998-11-06T19:58:45Z</dcterms:created>
  <dcterms:modified xsi:type="dcterms:W3CDTF">2013-11-13T19:24:57Z</dcterms:modified>
</cp:coreProperties>
</file>