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56" yWindow="65416" windowWidth="17925" windowHeight="13620" tabRatio="500" activeTab="0"/>
  </bookViews>
  <sheets>
    <sheet name="PeakRunoff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<sst xmlns="http://schemas.openxmlformats.org/spreadsheetml/2006/main" count="75" uniqueCount="62">
  <si>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Storage, S</t>
  </si>
  <si>
    <r>
      <t>(m</t>
    </r>
    <r>
      <rPr>
        <vertAlign val="superscript"/>
        <sz val="12"/>
        <rFont val="Times"/>
        <family val="1"/>
      </rPr>
      <t>3</t>
    </r>
    <r>
      <rPr>
        <sz val="12"/>
        <rFont val="Times"/>
        <family val="0"/>
      </rPr>
      <t>/sec)</t>
    </r>
  </si>
  <si>
    <t>(2S/dt) + O</t>
  </si>
  <si>
    <t>Time</t>
  </si>
  <si>
    <t>Inflow, I</t>
  </si>
  <si>
    <t>(2S/dt) - O</t>
  </si>
  <si>
    <t>O</t>
  </si>
  <si>
    <t>cfs</t>
  </si>
  <si>
    <t>Row Num</t>
  </si>
  <si>
    <t>Row Num + 1</t>
  </si>
  <si>
    <t>2S/dt + O value</t>
  </si>
  <si>
    <t>ft</t>
  </si>
  <si>
    <t>hrs</t>
  </si>
  <si>
    <t>Problem:</t>
  </si>
  <si>
    <t>Solution</t>
  </si>
  <si>
    <t>Given Information:</t>
  </si>
  <si>
    <t>Detention basin</t>
  </si>
  <si>
    <t>Bottom width:</t>
  </si>
  <si>
    <t>Top width:</t>
  </si>
  <si>
    <t>Height:</t>
  </si>
  <si>
    <t>Length</t>
  </si>
  <si>
    <t>Storm Hydrograph</t>
  </si>
  <si>
    <t>Peak flow</t>
  </si>
  <si>
    <t>time to peak</t>
  </si>
  <si>
    <t>time to fall</t>
  </si>
  <si>
    <t>Weir</t>
  </si>
  <si>
    <t>legnth</t>
  </si>
  <si>
    <t>crest height</t>
  </si>
  <si>
    <t>basin height</t>
  </si>
  <si>
    <t>Bottom width</t>
  </si>
  <si>
    <t>Weir crest height</t>
  </si>
  <si>
    <t>Slide slopes (h/l):</t>
  </si>
  <si>
    <t>Time (hrs)</t>
  </si>
  <si>
    <t>Time step</t>
  </si>
  <si>
    <t>hr</t>
  </si>
  <si>
    <r>
      <t>Flow (ft</t>
    </r>
    <r>
      <rPr>
        <b/>
        <vertAlign val="superscript"/>
        <sz val="12"/>
        <rFont val="Times"/>
        <family val="1"/>
      </rPr>
      <t>3</t>
    </r>
    <r>
      <rPr>
        <b/>
        <sz val="12"/>
        <rFont val="Times"/>
        <family val="1"/>
      </rPr>
      <t>/s)</t>
    </r>
  </si>
  <si>
    <r>
      <rPr>
        <u val="single"/>
        <sz val="12"/>
        <rFont val="Times"/>
        <family val="1"/>
      </rPr>
      <t>Step 1.</t>
    </r>
    <r>
      <rPr>
        <sz val="12"/>
        <rFont val="Times"/>
        <family val="1"/>
      </rPr>
      <t xml:space="preserve"> Determine the inflow hydrograph</t>
    </r>
  </si>
  <si>
    <t>Weir length</t>
  </si>
  <si>
    <r>
      <rPr>
        <u val="single"/>
        <sz val="12"/>
        <rFont val="Times"/>
        <family val="1"/>
      </rPr>
      <t>Step 2.</t>
    </r>
    <r>
      <rPr>
        <sz val="12"/>
        <rFont val="Times"/>
        <family val="1"/>
      </rPr>
      <t xml:space="preserve"> Determine the stage-storage-discharge relationship for the basin/outlet</t>
    </r>
  </si>
  <si>
    <t>(unitless)</t>
  </si>
  <si>
    <t>Stage step</t>
  </si>
  <si>
    <t>Stage (ft)</t>
  </si>
  <si>
    <r>
      <t>Storage (ft</t>
    </r>
    <r>
      <rPr>
        <vertAlign val="superscript"/>
        <sz val="12"/>
        <rFont val="Times"/>
        <family val="1"/>
      </rPr>
      <t>3</t>
    </r>
    <r>
      <rPr>
        <sz val="12"/>
        <rFont val="Times"/>
        <family val="1"/>
      </rPr>
      <t>)</t>
    </r>
  </si>
  <si>
    <t>lumped constant</t>
  </si>
  <si>
    <r>
      <t>(ft</t>
    </r>
    <r>
      <rPr>
        <vertAlign val="superscript"/>
        <sz val="12"/>
        <rFont val="Times"/>
        <family val="1"/>
      </rPr>
      <t>0.5</t>
    </r>
    <r>
      <rPr>
        <sz val="12"/>
        <rFont val="Times"/>
        <family val="1"/>
      </rPr>
      <t>/s)</t>
    </r>
  </si>
  <si>
    <r>
      <t>Discharge [O] (ft</t>
    </r>
    <r>
      <rPr>
        <vertAlign val="superscript"/>
        <sz val="12"/>
        <rFont val="Times"/>
        <family val="1"/>
      </rPr>
      <t>3</t>
    </r>
    <r>
      <rPr>
        <sz val="12"/>
        <rFont val="Times"/>
        <family val="1"/>
      </rPr>
      <t>/s)</t>
    </r>
  </si>
  <si>
    <t>And the storage characteristics table</t>
  </si>
  <si>
    <r>
      <rPr>
        <u val="single"/>
        <sz val="12"/>
        <rFont val="Times"/>
        <family val="1"/>
      </rPr>
      <t>Step 3.</t>
    </r>
    <r>
      <rPr>
        <sz val="12"/>
        <rFont val="Times"/>
        <family val="1"/>
      </rPr>
      <t xml:space="preserve"> Route the inflow hydrograph through the basin/outlet using the modified Puls method:</t>
    </r>
  </si>
  <si>
    <t>(hour)</t>
  </si>
  <si>
    <r>
      <t>(ft</t>
    </r>
    <r>
      <rPr>
        <vertAlign val="superscript"/>
        <sz val="12"/>
        <rFont val="Times"/>
        <family val="1"/>
      </rPr>
      <t>3</t>
    </r>
    <r>
      <rPr>
        <sz val="12"/>
        <rFont val="Times"/>
        <family val="0"/>
      </rPr>
      <t>/sec)</t>
    </r>
  </si>
  <si>
    <r>
      <t>(ft</t>
    </r>
    <r>
      <rPr>
        <vertAlign val="superscript"/>
        <sz val="12"/>
        <rFont val="Times"/>
        <family val="1"/>
      </rPr>
      <t>3</t>
    </r>
    <r>
      <rPr>
        <sz val="12"/>
        <rFont val="Times"/>
        <family val="1"/>
      </rPr>
      <t>)</t>
    </r>
  </si>
  <si>
    <t>Initial storage:</t>
  </si>
  <si>
    <r>
      <t>ft</t>
    </r>
    <r>
      <rPr>
        <vertAlign val="superscript"/>
        <sz val="12"/>
        <rFont val="Times"/>
        <family val="1"/>
      </rPr>
      <t>3</t>
    </r>
  </si>
  <si>
    <t>Interpolation Procedures to calculate O from (2S/dt) + O</t>
  </si>
  <si>
    <t>next row</t>
  </si>
  <si>
    <t>O value row</t>
  </si>
  <si>
    <t>O value</t>
  </si>
  <si>
    <t>row</t>
  </si>
  <si>
    <t>Interpolated O</t>
  </si>
  <si>
    <t>Maximum disharge =</t>
  </si>
  <si>
    <t>Determine the peak outflow from a trapizodal detention basin with a weir outlet whose crest is 1 ft above the basin bottom. The basin is initially empty and subject to the specified triangular storm hydrograph. Use a time step of 10 minutes. Can the basin contain the inflow?</t>
  </si>
  <si>
    <t>At and below the weir crest, no outflow!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</si>
</sst>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_(* #,##0.0_);_(* \(#,##0.0\);_(* &quot;-&quot;??_);_(@_)"/>
    <numFmt numFmtId="171" formatCode="_(* #,##0_);_(* \(#,##0\);_(* &quot;-&quot;??_);_(@_)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"/>
    <numFmt numFmtId="177" formatCode="0.00000000"/>
    <numFmt numFmtId="178" formatCode="#,##0.0"/>
    <numFmt numFmtId="179" formatCode="[$-409]dddd\,\ mmmm\ dd\,\ yyyy"/>
    <numFmt numFmtId="180" formatCode="[$-409]h:mm:ss\ AM/PM"/>
  </numFmts>
  <fonts count="49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u val="single"/>
      <sz val="12"/>
      <color indexed="12"/>
      <name val="Times"/>
      <family val="1"/>
    </font>
    <font>
      <u val="single"/>
      <sz val="12"/>
      <color indexed="61"/>
      <name val="Times"/>
      <family val="1"/>
    </font>
    <font>
      <vertAlign val="superscript"/>
      <sz val="12"/>
      <name val="Times"/>
      <family val="1"/>
    </font>
    <font>
      <u val="single"/>
      <sz val="12"/>
      <name val="Times"/>
      <family val="1"/>
    </font>
    <font>
      <b/>
      <vertAlign val="superscript"/>
      <sz val="12"/>
      <name val="Times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"/>
      <family val="1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left"/>
    </xf>
    <xf numFmtId="2" fontId="0" fillId="0" borderId="14" xfId="0" applyNumberFormat="1" applyFont="1" applyBorder="1" applyAlignment="1">
      <alignment horizontal="center"/>
    </xf>
    <xf numFmtId="171" fontId="0" fillId="0" borderId="0" xfId="42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171" fontId="0" fillId="0" borderId="16" xfId="42" applyNumberFormat="1" applyFon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168" fontId="0" fillId="0" borderId="18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78" fontId="0" fillId="0" borderId="10" xfId="42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Triangular inflow hydrgraph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3225"/>
          <c:w val="0.9205"/>
          <c:h val="0.7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PeakRunoff!$C$28</c:f>
              <c:strCache>
                <c:ptCount val="1"/>
                <c:pt idx="0">
                  <c:v>Flow (ft3/s)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PeakRunoff!$B$29:$B$65</c:f>
              <c:numCache/>
            </c:numRef>
          </c:xVal>
          <c:yVal>
            <c:numRef>
              <c:f>PeakRunoff!$C$29:$C$65</c:f>
              <c:numCache/>
            </c:numRef>
          </c:yVal>
          <c:smooth val="0"/>
        </c:ser>
        <c:axId val="35021488"/>
        <c:axId val="46757937"/>
      </c:scatterChart>
      <c:valAx>
        <c:axId val="3502148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757937"/>
        <c:crosses val="autoZero"/>
        <c:crossBetween val="midCat"/>
        <c:dispUnits/>
        <c:majorUnit val="1"/>
      </c:valAx>
      <c:valAx>
        <c:axId val="46757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0214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-0.01"/>
          <c:w val="0.9205"/>
          <c:h val="0.939"/>
        </c:manualLayout>
      </c:layout>
      <c:scatterChart>
        <c:scatterStyle val="lineMarker"/>
        <c:varyColors val="0"/>
        <c:ser>
          <c:idx val="0"/>
          <c:order val="0"/>
          <c:tx>
            <c:strRef>
              <c:f>PeakRunoff!$C$28</c:f>
              <c:strCache>
                <c:ptCount val="1"/>
                <c:pt idx="0">
                  <c:v>Flow (ft3/s)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PeakRunoff!$B$29:$B$65</c:f>
              <c:numCache/>
            </c:numRef>
          </c:xVal>
          <c:yVal>
            <c:numRef>
              <c:f>PeakRunoff!$C$29:$C$65</c:f>
              <c:numCache/>
            </c:numRef>
          </c:yVal>
          <c:smooth val="0"/>
        </c:ser>
        <c:ser>
          <c:idx val="1"/>
          <c:order val="1"/>
          <c:tx>
            <c:v>Discharge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PeakRunoff!$B$98:$B$134</c:f>
              <c:numCache/>
            </c:numRef>
          </c:xVal>
          <c:yVal>
            <c:numRef>
              <c:f>PeakRunoff!$F$98:$F$134</c:f>
              <c:numCache/>
            </c:numRef>
          </c:yVal>
          <c:smooth val="0"/>
        </c:ser>
        <c:axId val="18168250"/>
        <c:axId val="29296523"/>
      </c:scatterChart>
      <c:valAx>
        <c:axId val="18168250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296523"/>
        <c:crosses val="autoZero"/>
        <c:crossBetween val="midCat"/>
        <c:dispUnits/>
        <c:majorUnit val="1"/>
      </c:valAx>
      <c:valAx>
        <c:axId val="29296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1682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05075"/>
          <c:w val="0.212"/>
          <c:h val="0.13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7</xdr:row>
      <xdr:rowOff>85725</xdr:rowOff>
    </xdr:from>
    <xdr:to>
      <xdr:col>7</xdr:col>
      <xdr:colOff>485775</xdr:colOff>
      <xdr:row>10</xdr:row>
      <xdr:rowOff>85725</xdr:rowOff>
    </xdr:to>
    <xdr:sp>
      <xdr:nvSpPr>
        <xdr:cNvPr id="1" name="Trapezoid 1"/>
        <xdr:cNvSpPr>
          <a:spLocks/>
        </xdr:cNvSpPr>
      </xdr:nvSpPr>
      <xdr:spPr>
        <a:xfrm rot="10800000">
          <a:off x="3409950" y="1790700"/>
          <a:ext cx="4486275" cy="571500"/>
        </a:xfrm>
        <a:custGeom>
          <a:pathLst>
            <a:path h="571500" w="2276475">
              <a:moveTo>
                <a:pt x="0" y="571500"/>
              </a:moveTo>
              <a:lnTo>
                <a:pt x="918263" y="0"/>
              </a:lnTo>
              <a:lnTo>
                <a:pt x="1358212" y="0"/>
              </a:lnTo>
              <a:lnTo>
                <a:pt x="2276475" y="5715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7</xdr:col>
      <xdr:colOff>666750</xdr:colOff>
      <xdr:row>7</xdr:row>
      <xdr:rowOff>57150</xdr:rowOff>
    </xdr:from>
    <xdr:to>
      <xdr:col>7</xdr:col>
      <xdr:colOff>666750</xdr:colOff>
      <xdr:row>10</xdr:row>
      <xdr:rowOff>152400</xdr:rowOff>
    </xdr:to>
    <xdr:sp>
      <xdr:nvSpPr>
        <xdr:cNvPr id="2" name="Straight Arrow Connector 3"/>
        <xdr:cNvSpPr>
          <a:spLocks/>
        </xdr:cNvSpPr>
      </xdr:nvSpPr>
      <xdr:spPr>
        <a:xfrm rot="5400000">
          <a:off x="8077200" y="1762125"/>
          <a:ext cx="0" cy="666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4</xdr:col>
      <xdr:colOff>295275</xdr:colOff>
      <xdr:row>10</xdr:row>
      <xdr:rowOff>180975</xdr:rowOff>
    </xdr:from>
    <xdr:to>
      <xdr:col>6</xdr:col>
      <xdr:colOff>409575</xdr:colOff>
      <xdr:row>10</xdr:row>
      <xdr:rowOff>180975</xdr:rowOff>
    </xdr:to>
    <xdr:sp>
      <xdr:nvSpPr>
        <xdr:cNvPr id="3" name="Straight Arrow Connector 6"/>
        <xdr:cNvSpPr>
          <a:spLocks/>
        </xdr:cNvSpPr>
      </xdr:nvSpPr>
      <xdr:spPr>
        <a:xfrm>
          <a:off x="4562475" y="2457450"/>
          <a:ext cx="2209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7</xdr:col>
      <xdr:colOff>914400</xdr:colOff>
      <xdr:row>9</xdr:row>
      <xdr:rowOff>95250</xdr:rowOff>
    </xdr:from>
    <xdr:to>
      <xdr:col>7</xdr:col>
      <xdr:colOff>914400</xdr:colOff>
      <xdr:row>10</xdr:row>
      <xdr:rowOff>152400</xdr:rowOff>
    </xdr:to>
    <xdr:sp>
      <xdr:nvSpPr>
        <xdr:cNvPr id="4" name="Straight Arrow Connector 10"/>
        <xdr:cNvSpPr>
          <a:spLocks/>
        </xdr:cNvSpPr>
      </xdr:nvSpPr>
      <xdr:spPr>
        <a:xfrm rot="5400000">
          <a:off x="8324850" y="2181225"/>
          <a:ext cx="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3</xdr:col>
      <xdr:colOff>971550</xdr:colOff>
      <xdr:row>27</xdr:row>
      <xdr:rowOff>47625</xdr:rowOff>
    </xdr:from>
    <xdr:to>
      <xdr:col>9</xdr:col>
      <xdr:colOff>904875</xdr:colOff>
      <xdr:row>41</xdr:row>
      <xdr:rowOff>95250</xdr:rowOff>
    </xdr:to>
    <xdr:graphicFrame>
      <xdr:nvGraphicFramePr>
        <xdr:cNvPr id="5" name="Chart 12"/>
        <xdr:cNvGraphicFramePr/>
      </xdr:nvGraphicFramePr>
      <xdr:xfrm>
        <a:off x="3600450" y="5638800"/>
        <a:ext cx="7239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990600</xdr:colOff>
      <xdr:row>7</xdr:row>
      <xdr:rowOff>85725</xdr:rowOff>
    </xdr:from>
    <xdr:to>
      <xdr:col>5</xdr:col>
      <xdr:colOff>295275</xdr:colOff>
      <xdr:row>9</xdr:row>
      <xdr:rowOff>95250</xdr:rowOff>
    </xdr:to>
    <xdr:sp>
      <xdr:nvSpPr>
        <xdr:cNvPr id="6" name="Freeform 15"/>
        <xdr:cNvSpPr>
          <a:spLocks/>
        </xdr:cNvSpPr>
      </xdr:nvSpPr>
      <xdr:spPr>
        <a:xfrm>
          <a:off x="5257800" y="1790700"/>
          <a:ext cx="352425" cy="390525"/>
        </a:xfrm>
        <a:custGeom>
          <a:pathLst>
            <a:path h="419100" w="419100">
              <a:moveTo>
                <a:pt x="0" y="9525"/>
              </a:moveTo>
              <a:lnTo>
                <a:pt x="0" y="419100"/>
              </a:lnTo>
              <a:lnTo>
                <a:pt x="419100" y="419100"/>
              </a:lnTo>
              <a:lnTo>
                <a:pt x="419100" y="0"/>
              </a:lnTo>
              <a:lnTo>
                <a:pt x="409575" y="0"/>
              </a:lnTo>
            </a:path>
          </a:pathLst>
        </a:cu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4</xdr:col>
      <xdr:colOff>952500</xdr:colOff>
      <xdr:row>7</xdr:row>
      <xdr:rowOff>28575</xdr:rowOff>
    </xdr:from>
    <xdr:to>
      <xdr:col>5</xdr:col>
      <xdr:colOff>295275</xdr:colOff>
      <xdr:row>7</xdr:row>
      <xdr:rowOff>28575</xdr:rowOff>
    </xdr:to>
    <xdr:sp>
      <xdr:nvSpPr>
        <xdr:cNvPr id="7" name="Straight Arrow Connector 16"/>
        <xdr:cNvSpPr>
          <a:spLocks/>
        </xdr:cNvSpPr>
      </xdr:nvSpPr>
      <xdr:spPr>
        <a:xfrm>
          <a:off x="5219700" y="1733550"/>
          <a:ext cx="390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1</xdr:col>
      <xdr:colOff>0</xdr:colOff>
      <xdr:row>135</xdr:row>
      <xdr:rowOff>57150</xdr:rowOff>
    </xdr:from>
    <xdr:to>
      <xdr:col>7</xdr:col>
      <xdr:colOff>390525</xdr:colOff>
      <xdr:row>157</xdr:row>
      <xdr:rowOff>76200</xdr:rowOff>
    </xdr:to>
    <xdr:graphicFrame>
      <xdr:nvGraphicFramePr>
        <xdr:cNvPr id="8" name="Chart 19"/>
        <xdr:cNvGraphicFramePr/>
      </xdr:nvGraphicFramePr>
      <xdr:xfrm>
        <a:off x="571500" y="26327100"/>
        <a:ext cx="72294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PageLayoutView="0" workbookViewId="0" topLeftCell="A146">
      <selection activeCell="E99" sqref="E99"/>
    </sheetView>
  </sheetViews>
  <sheetFormatPr defaultColWidth="11" defaultRowHeight="15"/>
  <cols>
    <col min="1" max="1" width="6" style="0" customWidth="1"/>
    <col min="2" max="2" width="11" style="0" customWidth="1"/>
    <col min="3" max="3" width="10.59765625" style="0" customWidth="1"/>
    <col min="4" max="4" width="17.19921875" style="0" customWidth="1"/>
    <col min="5" max="8" width="11" style="0" customWidth="1"/>
    <col min="9" max="9" width="15.5" style="0" customWidth="1"/>
    <col min="10" max="10" width="13.19921875" style="0" customWidth="1"/>
    <col min="11" max="11" width="13.5" style="0" customWidth="1"/>
    <col min="12" max="12" width="13.8984375" style="0" customWidth="1"/>
    <col min="13" max="13" width="11" style="0" customWidth="1"/>
    <col min="14" max="14" width="9.19921875" style="0" customWidth="1"/>
    <col min="15" max="15" width="12.19921875" style="0" customWidth="1"/>
  </cols>
  <sheetData>
    <row r="1" ht="15">
      <c r="A1" s="9" t="s">
        <v>13</v>
      </c>
    </row>
    <row r="2" spans="1:9" ht="44.25" customHeight="1">
      <c r="A2" s="43" t="s">
        <v>60</v>
      </c>
      <c r="B2" s="43"/>
      <c r="C2" s="43"/>
      <c r="D2" s="43"/>
      <c r="E2" s="43"/>
      <c r="F2" s="43"/>
      <c r="G2" s="43"/>
      <c r="H2" s="43"/>
      <c r="I2" s="43"/>
    </row>
    <row r="4" ht="15">
      <c r="A4" s="9" t="s">
        <v>15</v>
      </c>
    </row>
    <row r="6" ht="15">
      <c r="B6" s="11" t="s">
        <v>16</v>
      </c>
    </row>
    <row r="7" spans="2:7" ht="15">
      <c r="B7" s="8" t="s">
        <v>17</v>
      </c>
      <c r="C7" s="1">
        <v>45</v>
      </c>
      <c r="D7" s="7" t="s">
        <v>11</v>
      </c>
      <c r="F7" s="7" t="s">
        <v>37</v>
      </c>
      <c r="G7" s="7"/>
    </row>
    <row r="8" spans="2:4" ht="15">
      <c r="B8" s="8" t="s">
        <v>19</v>
      </c>
      <c r="C8" s="1">
        <v>4</v>
      </c>
      <c r="D8" s="7" t="s">
        <v>11</v>
      </c>
    </row>
    <row r="9" spans="2:9" ht="15">
      <c r="B9" s="8" t="s">
        <v>31</v>
      </c>
      <c r="C9" s="1">
        <v>0.2</v>
      </c>
      <c r="D9" s="7" t="s">
        <v>39</v>
      </c>
      <c r="I9" s="12" t="s">
        <v>28</v>
      </c>
    </row>
    <row r="10" spans="2:4" ht="15">
      <c r="B10" s="8" t="s">
        <v>18</v>
      </c>
      <c r="C10" s="19">
        <f>2*C8/C9+C7</f>
        <v>85</v>
      </c>
      <c r="D10" s="7" t="s">
        <v>11</v>
      </c>
    </row>
    <row r="11" spans="2:9" ht="15">
      <c r="B11" s="8" t="s">
        <v>20</v>
      </c>
      <c r="C11" s="1">
        <v>550</v>
      </c>
      <c r="D11" s="7" t="s">
        <v>11</v>
      </c>
      <c r="I11" s="7" t="s">
        <v>30</v>
      </c>
    </row>
    <row r="12" spans="2:9" ht="18">
      <c r="B12" s="8" t="s">
        <v>51</v>
      </c>
      <c r="C12" s="1">
        <v>0</v>
      </c>
      <c r="D12" s="7" t="s">
        <v>52</v>
      </c>
      <c r="F12" s="7" t="s">
        <v>29</v>
      </c>
      <c r="G12" s="7"/>
      <c r="I12" s="7"/>
    </row>
    <row r="13" spans="2:4" ht="15">
      <c r="B13" s="8"/>
      <c r="C13" s="1"/>
      <c r="D13" s="7"/>
    </row>
    <row r="14" spans="2:4" ht="15">
      <c r="B14" s="13" t="s">
        <v>25</v>
      </c>
      <c r="C14" s="1"/>
      <c r="D14" s="7"/>
    </row>
    <row r="15" spans="2:4" ht="15">
      <c r="B15" s="8" t="s">
        <v>26</v>
      </c>
      <c r="C15" s="1">
        <v>2</v>
      </c>
      <c r="D15" s="7" t="s">
        <v>11</v>
      </c>
    </row>
    <row r="16" spans="2:4" ht="15">
      <c r="B16" s="8" t="s">
        <v>27</v>
      </c>
      <c r="C16" s="1">
        <v>0.5</v>
      </c>
      <c r="D16" s="7" t="s">
        <v>11</v>
      </c>
    </row>
    <row r="17" spans="2:4" ht="18">
      <c r="B17" s="8" t="s">
        <v>43</v>
      </c>
      <c r="C17" s="1">
        <v>1.83</v>
      </c>
      <c r="D17" s="7" t="s">
        <v>44</v>
      </c>
    </row>
    <row r="18" ht="15">
      <c r="C18" s="1"/>
    </row>
    <row r="19" spans="2:3" ht="15">
      <c r="B19" s="13" t="s">
        <v>21</v>
      </c>
      <c r="C19" s="1"/>
    </row>
    <row r="20" spans="2:4" ht="15">
      <c r="B20" s="8" t="s">
        <v>22</v>
      </c>
      <c r="C20" s="1">
        <v>12</v>
      </c>
      <c r="D20" s="7" t="s">
        <v>7</v>
      </c>
    </row>
    <row r="21" spans="2:4" ht="15">
      <c r="B21" s="8" t="s">
        <v>23</v>
      </c>
      <c r="C21" s="3">
        <f>1+40/60</f>
        <v>1.6666666666666665</v>
      </c>
      <c r="D21" s="7" t="s">
        <v>12</v>
      </c>
    </row>
    <row r="22" spans="2:4" ht="15">
      <c r="B22" s="8" t="s">
        <v>24</v>
      </c>
      <c r="C22" s="3">
        <f>3+20/60</f>
        <v>3.3333333333333335</v>
      </c>
      <c r="D22" s="7" t="s">
        <v>12</v>
      </c>
    </row>
    <row r="24" ht="15">
      <c r="A24" s="9" t="s">
        <v>14</v>
      </c>
    </row>
    <row r="25" ht="15">
      <c r="B25" s="7" t="s">
        <v>36</v>
      </c>
    </row>
    <row r="26" spans="2:4" ht="15">
      <c r="B26" s="7" t="s">
        <v>33</v>
      </c>
      <c r="C26" s="3">
        <f>10/60</f>
        <v>0.16666666666666666</v>
      </c>
      <c r="D26" s="7" t="s">
        <v>34</v>
      </c>
    </row>
    <row r="27" spans="2:4" ht="15">
      <c r="B27" s="7"/>
      <c r="C27" s="14"/>
      <c r="D27" s="7"/>
    </row>
    <row r="28" spans="2:3" ht="17.25">
      <c r="B28" s="16" t="s">
        <v>32</v>
      </c>
      <c r="C28" s="17" t="s">
        <v>35</v>
      </c>
    </row>
    <row r="29" spans="2:3" ht="15">
      <c r="B29" s="21">
        <v>0</v>
      </c>
      <c r="C29" s="44">
        <f aca="true" t="shared" si="0" ref="C29:C65">IF($B29&lt;$C$21,$B29*$C$20/$C$21,IF($B29&lt;SUM($C$21:$C$22),$C$20-($C$20/$C$22)*($B29-$C$21),0))</f>
        <v>0</v>
      </c>
    </row>
    <row r="30" spans="2:3" ht="15">
      <c r="B30" s="21">
        <f>B29+$C$26</f>
        <v>0.16666666666666666</v>
      </c>
      <c r="C30" s="44">
        <f t="shared" si="0"/>
        <v>1.2000000000000002</v>
      </c>
    </row>
    <row r="31" spans="2:3" ht="15">
      <c r="B31" s="21">
        <f>B30+$C$26</f>
        <v>0.3333333333333333</v>
      </c>
      <c r="C31" s="44">
        <f t="shared" si="0"/>
        <v>2.4000000000000004</v>
      </c>
    </row>
    <row r="32" spans="2:3" ht="15">
      <c r="B32" s="21">
        <f>B31+$C$26</f>
        <v>0.5</v>
      </c>
      <c r="C32" s="44">
        <f t="shared" si="0"/>
        <v>3.6000000000000005</v>
      </c>
    </row>
    <row r="33" spans="2:3" ht="15">
      <c r="B33" s="21">
        <f aca="true" t="shared" si="1" ref="B33:B48">B32+$C$26</f>
        <v>0.6666666666666666</v>
      </c>
      <c r="C33" s="44">
        <f t="shared" si="0"/>
        <v>4.800000000000001</v>
      </c>
    </row>
    <row r="34" spans="2:3" ht="15">
      <c r="B34" s="21">
        <f t="shared" si="1"/>
        <v>0.8333333333333333</v>
      </c>
      <c r="C34" s="44">
        <f t="shared" si="0"/>
        <v>6.000000000000001</v>
      </c>
    </row>
    <row r="35" spans="2:3" ht="15">
      <c r="B35" s="21">
        <f t="shared" si="1"/>
        <v>0.9999999999999999</v>
      </c>
      <c r="C35" s="44">
        <f t="shared" si="0"/>
        <v>7.199999999999999</v>
      </c>
    </row>
    <row r="36" spans="2:3" ht="15">
      <c r="B36" s="21">
        <f t="shared" si="1"/>
        <v>1.1666666666666665</v>
      </c>
      <c r="C36" s="44">
        <f t="shared" si="0"/>
        <v>8.4</v>
      </c>
    </row>
    <row r="37" spans="2:3" ht="15">
      <c r="B37" s="21">
        <f t="shared" si="1"/>
        <v>1.3333333333333333</v>
      </c>
      <c r="C37" s="44">
        <f t="shared" si="0"/>
        <v>9.600000000000001</v>
      </c>
    </row>
    <row r="38" spans="2:3" ht="15">
      <c r="B38" s="21">
        <f t="shared" si="1"/>
        <v>1.5</v>
      </c>
      <c r="C38" s="44">
        <f t="shared" si="0"/>
        <v>10.8</v>
      </c>
    </row>
    <row r="39" spans="2:3" ht="15">
      <c r="B39" s="21">
        <f t="shared" si="1"/>
        <v>1.6666666666666667</v>
      </c>
      <c r="C39" s="44">
        <f t="shared" si="0"/>
        <v>12</v>
      </c>
    </row>
    <row r="40" spans="2:3" ht="15">
      <c r="B40" s="21">
        <f t="shared" si="1"/>
        <v>1.8333333333333335</v>
      </c>
      <c r="C40" s="44">
        <f t="shared" si="0"/>
        <v>11.399999999999999</v>
      </c>
    </row>
    <row r="41" spans="2:3" ht="15">
      <c r="B41" s="21">
        <f t="shared" si="1"/>
        <v>2</v>
      </c>
      <c r="C41" s="44">
        <f t="shared" si="0"/>
        <v>10.799999999999999</v>
      </c>
    </row>
    <row r="42" spans="2:3" ht="15">
      <c r="B42" s="21">
        <f t="shared" si="1"/>
        <v>2.1666666666666665</v>
      </c>
      <c r="C42" s="44">
        <f t="shared" si="0"/>
        <v>10.2</v>
      </c>
    </row>
    <row r="43" spans="2:3" ht="15">
      <c r="B43" s="21">
        <f t="shared" si="1"/>
        <v>2.333333333333333</v>
      </c>
      <c r="C43" s="44">
        <f t="shared" si="0"/>
        <v>9.600000000000001</v>
      </c>
    </row>
    <row r="44" spans="2:3" ht="15">
      <c r="B44" s="21">
        <f t="shared" si="1"/>
        <v>2.4999999999999996</v>
      </c>
      <c r="C44" s="44">
        <f t="shared" si="0"/>
        <v>9.000000000000002</v>
      </c>
    </row>
    <row r="45" spans="2:3" ht="15">
      <c r="B45" s="21">
        <f t="shared" si="1"/>
        <v>2.666666666666666</v>
      </c>
      <c r="C45" s="44">
        <f t="shared" si="0"/>
        <v>8.400000000000002</v>
      </c>
    </row>
    <row r="46" spans="2:3" ht="15">
      <c r="B46" s="21">
        <f t="shared" si="1"/>
        <v>2.8333333333333326</v>
      </c>
      <c r="C46" s="44">
        <f t="shared" si="0"/>
        <v>7.8000000000000025</v>
      </c>
    </row>
    <row r="47" spans="2:3" ht="15">
      <c r="B47" s="21">
        <f t="shared" si="1"/>
        <v>2.999999999999999</v>
      </c>
      <c r="C47" s="44">
        <f t="shared" si="0"/>
        <v>7.200000000000003</v>
      </c>
    </row>
    <row r="48" spans="2:3" ht="15">
      <c r="B48" s="21">
        <f t="shared" si="1"/>
        <v>3.1666666666666656</v>
      </c>
      <c r="C48" s="44">
        <f t="shared" si="0"/>
        <v>6.600000000000004</v>
      </c>
    </row>
    <row r="49" spans="2:3" ht="15">
      <c r="B49" s="21">
        <f aca="true" t="shared" si="2" ref="B49:B61">B48+$C$26</f>
        <v>3.333333333333332</v>
      </c>
      <c r="C49" s="44">
        <f t="shared" si="0"/>
        <v>6.000000000000004</v>
      </c>
    </row>
    <row r="50" spans="2:3" ht="15">
      <c r="B50" s="21">
        <f t="shared" si="2"/>
        <v>3.4999999999999987</v>
      </c>
      <c r="C50" s="44">
        <f t="shared" si="0"/>
        <v>5.400000000000005</v>
      </c>
    </row>
    <row r="51" spans="2:3" ht="15">
      <c r="B51" s="21">
        <f t="shared" si="2"/>
        <v>3.666666666666665</v>
      </c>
      <c r="C51" s="44">
        <f t="shared" si="0"/>
        <v>4.800000000000005</v>
      </c>
    </row>
    <row r="52" spans="2:3" ht="15">
      <c r="B52" s="21">
        <f t="shared" si="2"/>
        <v>3.8333333333333317</v>
      </c>
      <c r="C52" s="44">
        <f t="shared" si="0"/>
        <v>4.200000000000006</v>
      </c>
    </row>
    <row r="53" spans="2:3" ht="15">
      <c r="B53" s="21">
        <f t="shared" si="2"/>
        <v>3.9999999999999982</v>
      </c>
      <c r="C53" s="44">
        <f t="shared" si="0"/>
        <v>3.6000000000000068</v>
      </c>
    </row>
    <row r="54" spans="2:3" ht="15">
      <c r="B54" s="21">
        <f t="shared" si="2"/>
        <v>4.166666666666665</v>
      </c>
      <c r="C54" s="44">
        <f t="shared" si="0"/>
        <v>3.0000000000000053</v>
      </c>
    </row>
    <row r="55" spans="2:3" ht="15">
      <c r="B55" s="21">
        <f t="shared" si="2"/>
        <v>4.333333333333332</v>
      </c>
      <c r="C55" s="44">
        <f t="shared" si="0"/>
        <v>2.400000000000004</v>
      </c>
    </row>
    <row r="56" spans="2:3" ht="15">
      <c r="B56" s="21">
        <f t="shared" si="2"/>
        <v>4.499999999999999</v>
      </c>
      <c r="C56" s="44">
        <f t="shared" si="0"/>
        <v>1.8000000000000043</v>
      </c>
    </row>
    <row r="57" spans="2:3" ht="15">
      <c r="B57" s="21">
        <f t="shared" si="2"/>
        <v>4.666666666666666</v>
      </c>
      <c r="C57" s="44">
        <f t="shared" si="0"/>
        <v>1.2000000000000028</v>
      </c>
    </row>
    <row r="58" spans="2:3" ht="15">
      <c r="B58" s="21">
        <f t="shared" si="2"/>
        <v>4.833333333333333</v>
      </c>
      <c r="C58" s="44">
        <f t="shared" si="0"/>
        <v>0.6000000000000014</v>
      </c>
    </row>
    <row r="59" spans="2:3" ht="15">
      <c r="B59" s="21">
        <f t="shared" si="2"/>
        <v>5</v>
      </c>
      <c r="C59" s="44">
        <f t="shared" si="0"/>
        <v>0</v>
      </c>
    </row>
    <row r="60" spans="2:3" ht="15">
      <c r="B60" s="21">
        <f t="shared" si="2"/>
        <v>5.166666666666667</v>
      </c>
      <c r="C60" s="44">
        <f t="shared" si="0"/>
        <v>0</v>
      </c>
    </row>
    <row r="61" spans="2:3" ht="15">
      <c r="B61" s="21">
        <f t="shared" si="2"/>
        <v>5.333333333333334</v>
      </c>
      <c r="C61" s="44">
        <f t="shared" si="0"/>
        <v>0</v>
      </c>
    </row>
    <row r="62" spans="2:3" ht="15">
      <c r="B62" s="21">
        <f>B61+$C$26</f>
        <v>5.500000000000001</v>
      </c>
      <c r="C62" s="44">
        <f t="shared" si="0"/>
        <v>0</v>
      </c>
    </row>
    <row r="63" spans="2:3" ht="15">
      <c r="B63" s="21">
        <f>B62+$C$26</f>
        <v>5.666666666666668</v>
      </c>
      <c r="C63" s="44">
        <f t="shared" si="0"/>
        <v>0</v>
      </c>
    </row>
    <row r="64" spans="2:3" ht="15">
      <c r="B64" s="21">
        <f>B63+$C$26</f>
        <v>5.833333333333335</v>
      </c>
      <c r="C64" s="44">
        <f t="shared" si="0"/>
        <v>0</v>
      </c>
    </row>
    <row r="65" spans="2:3" ht="15">
      <c r="B65" s="25">
        <f>B64+$C$26</f>
        <v>6.000000000000002</v>
      </c>
      <c r="C65" s="45">
        <f t="shared" si="0"/>
        <v>0</v>
      </c>
    </row>
    <row r="66" spans="2:3" ht="15">
      <c r="B66" s="15"/>
      <c r="C66" s="3"/>
    </row>
    <row r="67" spans="2:3" ht="15">
      <c r="B67" s="15"/>
      <c r="C67" s="3"/>
    </row>
    <row r="68" spans="2:3" ht="15">
      <c r="B68" s="15"/>
      <c r="C68" s="3"/>
    </row>
    <row r="69" spans="2:3" ht="15">
      <c r="B69" s="7" t="s">
        <v>38</v>
      </c>
      <c r="C69" s="3"/>
    </row>
    <row r="70" spans="2:3" ht="15">
      <c r="B70" s="7"/>
      <c r="C70" s="20" t="s">
        <v>46</v>
      </c>
    </row>
    <row r="71" spans="2:8" ht="15">
      <c r="B71" s="7"/>
      <c r="C71" s="18" t="s">
        <v>40</v>
      </c>
      <c r="D71" s="1">
        <v>0.25</v>
      </c>
      <c r="E71" s="7" t="s">
        <v>11</v>
      </c>
      <c r="H71" s="7"/>
    </row>
    <row r="72" spans="2:3" ht="15">
      <c r="B72" s="15"/>
      <c r="C72" s="3"/>
    </row>
    <row r="73" spans="2:9" ht="18">
      <c r="B73" s="28" t="s">
        <v>41</v>
      </c>
      <c r="C73" s="29" t="s">
        <v>42</v>
      </c>
      <c r="D73" s="30" t="s">
        <v>45</v>
      </c>
      <c r="E73" s="31" t="s">
        <v>2</v>
      </c>
      <c r="F73" s="40"/>
      <c r="G73" s="24"/>
      <c r="H73" s="38"/>
      <c r="I73" s="39"/>
    </row>
    <row r="74" spans="2:9" ht="15">
      <c r="B74" s="21">
        <f>0</f>
        <v>0</v>
      </c>
      <c r="C74" s="22">
        <f>$C$11*$B74*($C$7+$B74/$C$9)</f>
        <v>0</v>
      </c>
      <c r="D74" s="23">
        <f>IF($B74&lt;=$C$16,0,$C$17*$C$15*(B74-$C$16)^1.5)</f>
        <v>0</v>
      </c>
      <c r="E74" s="23">
        <f>2*C74/($C$26*3600)+D74</f>
        <v>0</v>
      </c>
      <c r="F74" s="40"/>
      <c r="G74" s="24"/>
      <c r="H74" s="22"/>
      <c r="I74" s="23"/>
    </row>
    <row r="75" spans="2:9" ht="15">
      <c r="B75" s="21">
        <f>B74+$D$71</f>
        <v>0.25</v>
      </c>
      <c r="C75" s="22">
        <f>$C$11*$B75*($C$7+$B75/$C$9)</f>
        <v>6359.375</v>
      </c>
      <c r="D75" s="23">
        <f>IF($B75&lt;=$C$16,0,$C$17*$C$15*(B75-$C$16)^1.5)</f>
        <v>0</v>
      </c>
      <c r="E75" s="23">
        <f aca="true" t="shared" si="3" ref="E75:E90">2*C75/($C$26*3600)+D75</f>
        <v>21.197916666666668</v>
      </c>
      <c r="F75" s="40"/>
      <c r="G75" s="24"/>
      <c r="H75" s="22"/>
      <c r="I75" s="23"/>
    </row>
    <row r="76" spans="2:9" ht="15">
      <c r="B76" s="21">
        <f aca="true" t="shared" si="4" ref="B76:B81">B75+$D$71</f>
        <v>0.5</v>
      </c>
      <c r="C76" s="22">
        <f aca="true" t="shared" si="5" ref="C76:C90">$C$11*$B76*($C$7+$B76/$C$9)</f>
        <v>13062.5</v>
      </c>
      <c r="D76" s="23">
        <f aca="true" t="shared" si="6" ref="D76:D81">IF($B76&lt;=$C$16,0,$C$17*$C$15*(B76-$C$16)^1.5)</f>
        <v>0</v>
      </c>
      <c r="E76" s="23">
        <f t="shared" si="3"/>
        <v>43.541666666666664</v>
      </c>
      <c r="F76" s="40"/>
      <c r="G76" s="24" t="s">
        <v>61</v>
      </c>
      <c r="H76" s="22"/>
      <c r="I76" s="23"/>
    </row>
    <row r="77" spans="2:9" ht="15">
      <c r="B77" s="21">
        <f t="shared" si="4"/>
        <v>0.75</v>
      </c>
      <c r="C77" s="22">
        <f t="shared" si="5"/>
        <v>20109.375</v>
      </c>
      <c r="D77" s="23">
        <f t="shared" si="6"/>
        <v>0.45750000000000013</v>
      </c>
      <c r="E77" s="23">
        <f t="shared" si="3"/>
        <v>67.48875</v>
      </c>
      <c r="F77" s="40"/>
      <c r="G77" s="24"/>
      <c r="H77" s="22"/>
      <c r="I77" s="23"/>
    </row>
    <row r="78" spans="2:9" ht="15">
      <c r="B78" s="21">
        <f t="shared" si="4"/>
        <v>1</v>
      </c>
      <c r="C78" s="22">
        <f t="shared" si="5"/>
        <v>27500</v>
      </c>
      <c r="D78" s="23">
        <f t="shared" si="6"/>
        <v>1.2940054095713822</v>
      </c>
      <c r="E78" s="23">
        <f t="shared" si="3"/>
        <v>92.96067207623805</v>
      </c>
      <c r="F78" s="40"/>
      <c r="G78" s="24"/>
      <c r="H78" s="22"/>
      <c r="I78" s="23"/>
    </row>
    <row r="79" spans="2:9" ht="15">
      <c r="B79" s="21">
        <f t="shared" si="4"/>
        <v>1.25</v>
      </c>
      <c r="C79" s="22">
        <f t="shared" si="5"/>
        <v>35234.375</v>
      </c>
      <c r="D79" s="23">
        <f t="shared" si="6"/>
        <v>2.377239733388284</v>
      </c>
      <c r="E79" s="23">
        <f t="shared" si="3"/>
        <v>119.82515640005495</v>
      </c>
      <c r="F79" s="40"/>
      <c r="G79" s="24"/>
      <c r="H79" s="22"/>
      <c r="I79" s="23"/>
    </row>
    <row r="80" spans="2:9" ht="15">
      <c r="B80" s="21">
        <f t="shared" si="4"/>
        <v>1.5</v>
      </c>
      <c r="C80" s="22">
        <f t="shared" si="5"/>
        <v>43312.5</v>
      </c>
      <c r="D80" s="23">
        <f t="shared" si="6"/>
        <v>3.66</v>
      </c>
      <c r="E80" s="23">
        <f t="shared" si="3"/>
        <v>148.035</v>
      </c>
      <c r="F80" s="40"/>
      <c r="G80" s="24"/>
      <c r="H80" s="22"/>
      <c r="I80" s="23"/>
    </row>
    <row r="81" spans="2:9" ht="15">
      <c r="B81" s="21">
        <f t="shared" si="4"/>
        <v>1.75</v>
      </c>
      <c r="C81" s="22">
        <f t="shared" si="5"/>
        <v>51734.375</v>
      </c>
      <c r="D81" s="23">
        <f t="shared" si="6"/>
        <v>5.11500549853077</v>
      </c>
      <c r="E81" s="23">
        <f t="shared" si="3"/>
        <v>177.56292216519742</v>
      </c>
      <c r="F81" s="40"/>
      <c r="G81" s="24"/>
      <c r="H81" s="22"/>
      <c r="I81" s="23"/>
    </row>
    <row r="82" spans="2:9" ht="15">
      <c r="B82" s="21">
        <f aca="true" t="shared" si="7" ref="B82:B90">B81+$D$71</f>
        <v>2</v>
      </c>
      <c r="C82" s="22">
        <f>$C$11*$B82*($C$7+$B82/$C$9)</f>
        <v>60500</v>
      </c>
      <c r="D82" s="23">
        <f aca="true" t="shared" si="8" ref="D82:D90">IF($B82&lt;=$C$16,0,$C$17*$C$15*(B82-$C$16)^1.5)</f>
        <v>6.723849343939825</v>
      </c>
      <c r="E82" s="23">
        <f t="shared" si="3"/>
        <v>208.3905160106065</v>
      </c>
      <c r="F82" s="40"/>
      <c r="G82" s="24"/>
      <c r="H82" s="22"/>
      <c r="I82" s="23"/>
    </row>
    <row r="83" spans="2:9" ht="15">
      <c r="B83" s="21">
        <f t="shared" si="7"/>
        <v>2.25</v>
      </c>
      <c r="C83" s="22">
        <f t="shared" si="5"/>
        <v>69609.375</v>
      </c>
      <c r="D83" s="23">
        <f t="shared" si="8"/>
        <v>8.473018573684351</v>
      </c>
      <c r="E83" s="23">
        <f t="shared" si="3"/>
        <v>240.50426857368436</v>
      </c>
      <c r="F83" s="40"/>
      <c r="G83" s="24"/>
      <c r="H83" s="22"/>
      <c r="I83" s="23"/>
    </row>
    <row r="84" spans="2:9" ht="15">
      <c r="B84" s="21">
        <f t="shared" si="7"/>
        <v>2.5</v>
      </c>
      <c r="C84" s="22">
        <f t="shared" si="5"/>
        <v>79062.5</v>
      </c>
      <c r="D84" s="23">
        <f t="shared" si="8"/>
        <v>10.352043276571056</v>
      </c>
      <c r="E84" s="23">
        <f t="shared" si="3"/>
        <v>273.89370994323775</v>
      </c>
      <c r="F84" s="40"/>
      <c r="G84" s="24"/>
      <c r="H84" s="22"/>
      <c r="I84" s="23"/>
    </row>
    <row r="85" spans="2:9" ht="15">
      <c r="B85" s="21">
        <f t="shared" si="7"/>
        <v>2.75</v>
      </c>
      <c r="C85" s="22">
        <f t="shared" si="5"/>
        <v>88859.375</v>
      </c>
      <c r="D85" s="23">
        <f t="shared" si="8"/>
        <v>12.352500000000001</v>
      </c>
      <c r="E85" s="23">
        <f t="shared" si="3"/>
        <v>308.5504166666667</v>
      </c>
      <c r="F85" s="40"/>
      <c r="G85" s="24"/>
      <c r="H85" s="22"/>
      <c r="I85" s="23"/>
    </row>
    <row r="86" spans="2:9" ht="15">
      <c r="B86" s="21">
        <f t="shared" si="7"/>
        <v>3</v>
      </c>
      <c r="C86" s="22">
        <f t="shared" si="5"/>
        <v>99000</v>
      </c>
      <c r="D86" s="23">
        <f t="shared" si="8"/>
        <v>14.467420295270337</v>
      </c>
      <c r="E86" s="23">
        <f t="shared" si="3"/>
        <v>344.46742029527036</v>
      </c>
      <c r="F86" s="40"/>
      <c r="G86" s="24"/>
      <c r="H86" s="22"/>
      <c r="I86" s="23"/>
    </row>
    <row r="87" spans="2:9" ht="15">
      <c r="B87" s="21">
        <f t="shared" si="7"/>
        <v>3.25</v>
      </c>
      <c r="C87" s="22">
        <f t="shared" si="5"/>
        <v>109484.375</v>
      </c>
      <c r="D87" s="23">
        <f t="shared" si="8"/>
        <v>16.690914257463547</v>
      </c>
      <c r="E87" s="23">
        <f t="shared" si="3"/>
        <v>381.6388309241302</v>
      </c>
      <c r="F87" s="40"/>
      <c r="G87" s="24"/>
      <c r="H87" s="22"/>
      <c r="I87" s="23"/>
    </row>
    <row r="88" spans="2:9" ht="15">
      <c r="B88" s="21">
        <f t="shared" si="7"/>
        <v>3.5</v>
      </c>
      <c r="C88" s="22">
        <f t="shared" si="5"/>
        <v>120312.5</v>
      </c>
      <c r="D88" s="23">
        <f t="shared" si="8"/>
        <v>19.017917867106274</v>
      </c>
      <c r="E88" s="23">
        <f t="shared" si="3"/>
        <v>420.059584533773</v>
      </c>
      <c r="F88" s="40"/>
      <c r="G88" s="24"/>
      <c r="H88" s="22"/>
      <c r="I88" s="23"/>
    </row>
    <row r="89" spans="2:9" ht="15">
      <c r="B89" s="21">
        <f t="shared" si="7"/>
        <v>3.75</v>
      </c>
      <c r="C89" s="22">
        <f t="shared" si="5"/>
        <v>131484.375</v>
      </c>
      <c r="D89" s="23">
        <f t="shared" si="8"/>
        <v>21.444016210822074</v>
      </c>
      <c r="E89" s="23">
        <f t="shared" si="3"/>
        <v>459.7252662108221</v>
      </c>
      <c r="F89" s="40"/>
      <c r="G89" s="24"/>
      <c r="H89" s="22"/>
      <c r="I89" s="23"/>
    </row>
    <row r="90" spans="2:9" ht="15">
      <c r="B90" s="25">
        <f t="shared" si="7"/>
        <v>4</v>
      </c>
      <c r="C90" s="26">
        <f t="shared" si="5"/>
        <v>143000</v>
      </c>
      <c r="D90" s="27">
        <f t="shared" si="8"/>
        <v>23.9653155622871</v>
      </c>
      <c r="E90" s="27">
        <f t="shared" si="3"/>
        <v>500.6319822289538</v>
      </c>
      <c r="F90" s="40"/>
      <c r="G90" s="24"/>
      <c r="H90" s="22"/>
      <c r="I90" s="23"/>
    </row>
    <row r="91" spans="2:4" ht="15">
      <c r="B91" s="18"/>
      <c r="C91" s="19"/>
      <c r="D91" s="19"/>
    </row>
    <row r="92" spans="2:3" ht="15">
      <c r="B92" s="15"/>
      <c r="C92" s="3"/>
    </row>
    <row r="93" ht="15">
      <c r="B93" s="7" t="s">
        <v>47</v>
      </c>
    </row>
    <row r="96" spans="2:15" ht="15">
      <c r="B96" s="6" t="s">
        <v>3</v>
      </c>
      <c r="C96" s="6" t="s">
        <v>4</v>
      </c>
      <c r="D96" s="6" t="s">
        <v>2</v>
      </c>
      <c r="E96" s="34" t="s">
        <v>0</v>
      </c>
      <c r="F96" s="6" t="s">
        <v>6</v>
      </c>
      <c r="G96" s="6" t="s">
        <v>5</v>
      </c>
      <c r="I96" s="36" t="s">
        <v>53</v>
      </c>
      <c r="J96" s="10"/>
      <c r="K96" s="10"/>
      <c r="L96" s="10"/>
      <c r="M96" s="10"/>
      <c r="N96" s="10"/>
      <c r="O96" s="10"/>
    </row>
    <row r="97" spans="2:15" ht="18">
      <c r="B97" s="32" t="s">
        <v>48</v>
      </c>
      <c r="C97" s="32" t="s">
        <v>49</v>
      </c>
      <c r="D97" s="5" t="s">
        <v>1</v>
      </c>
      <c r="E97" s="32" t="s">
        <v>50</v>
      </c>
      <c r="F97" s="5" t="s">
        <v>1</v>
      </c>
      <c r="G97" s="5" t="s">
        <v>1</v>
      </c>
      <c r="I97" s="7" t="s">
        <v>8</v>
      </c>
      <c r="J97" s="7" t="s">
        <v>9</v>
      </c>
      <c r="K97" s="7" t="s">
        <v>10</v>
      </c>
      <c r="L97" s="7" t="s">
        <v>10</v>
      </c>
      <c r="M97" s="37" t="s">
        <v>55</v>
      </c>
      <c r="N97" s="37" t="s">
        <v>56</v>
      </c>
      <c r="O97" s="37" t="s">
        <v>58</v>
      </c>
    </row>
    <row r="98" spans="2:14" ht="15">
      <c r="B98" s="2">
        <v>0</v>
      </c>
      <c r="C98" s="4">
        <f>C29</f>
        <v>0</v>
      </c>
      <c r="D98" s="2">
        <v>0</v>
      </c>
      <c r="E98" s="35">
        <f>$C$12</f>
        <v>0</v>
      </c>
      <c r="F98" s="2">
        <v>0</v>
      </c>
      <c r="G98" s="4">
        <f>D98-2*F98</f>
        <v>0</v>
      </c>
      <c r="K98" s="7" t="s">
        <v>57</v>
      </c>
      <c r="L98" s="7" t="s">
        <v>54</v>
      </c>
      <c r="M98" s="7" t="s">
        <v>57</v>
      </c>
      <c r="N98" s="7" t="s">
        <v>54</v>
      </c>
    </row>
    <row r="99" spans="2:15" ht="15">
      <c r="B99" s="33">
        <f>B98+$C$26</f>
        <v>0.16666666666666666</v>
      </c>
      <c r="C99" s="4">
        <f aca="true" t="shared" si="9" ref="C99:C134">C30</f>
        <v>1.2000000000000002</v>
      </c>
      <c r="D99" s="4">
        <f>C98+C99+G98</f>
        <v>1.2000000000000002</v>
      </c>
      <c r="E99" s="46">
        <f>(D99-K99)/(K99-L99)*(INDEX($C$74:$C$90,I99)-INDEX($C$74:$C$90,J99))+INDEX($C$74:$C$90,I99)</f>
        <v>360</v>
      </c>
      <c r="F99" s="4">
        <f aca="true" t="shared" si="10" ref="F99:F111">O99</f>
        <v>0</v>
      </c>
      <c r="G99" s="4">
        <f>D99-2*F99</f>
        <v>1.2000000000000002</v>
      </c>
      <c r="I99" s="1">
        <f>MATCH(D99,$E$74:$E$90,1)</f>
        <v>1</v>
      </c>
      <c r="J99" s="1">
        <f>I99+1</f>
        <v>2</v>
      </c>
      <c r="K99" s="3">
        <f>INDEX($E$74:$E$90,I99,1)</f>
        <v>0</v>
      </c>
      <c r="L99" s="3">
        <f>INDEX($E$74:$E$90,J99,1)</f>
        <v>21.197916666666668</v>
      </c>
      <c r="M99" s="3">
        <f>INDEX($D$74:$D$90,I99,1)</f>
        <v>0</v>
      </c>
      <c r="N99" s="3">
        <f>INDEX($D$74:$D$90,J99,1)</f>
        <v>0</v>
      </c>
      <c r="O99" s="3">
        <f>M99+((D99-K99)/(L99-K99))*(N99-M99)</f>
        <v>0</v>
      </c>
    </row>
    <row r="100" spans="2:15" ht="15">
      <c r="B100" s="33">
        <f aca="true" t="shared" si="11" ref="B100:B111">B99+$C$26</f>
        <v>0.3333333333333333</v>
      </c>
      <c r="C100" s="4">
        <f t="shared" si="9"/>
        <v>2.4000000000000004</v>
      </c>
      <c r="D100" s="4">
        <f>C99+C100+G99</f>
        <v>4.800000000000001</v>
      </c>
      <c r="E100" s="46">
        <f>(D100-K100)/(K100-L100)*(INDEX($C$74:$C$90,I100)-INDEX($C$74:$C$90,J100))+INDEX($C$74:$C$90,I100)</f>
        <v>1440</v>
      </c>
      <c r="F100" s="4">
        <f t="shared" si="10"/>
        <v>0</v>
      </c>
      <c r="G100" s="4">
        <f>D100-2*F100</f>
        <v>4.800000000000001</v>
      </c>
      <c r="I100" s="1">
        <f aca="true" t="shared" si="12" ref="I100:I111">MATCH(D100,$E$74:$E$90,1)</f>
        <v>1</v>
      </c>
      <c r="J100" s="1">
        <f aca="true" t="shared" si="13" ref="J100:J134">I100+1</f>
        <v>2</v>
      </c>
      <c r="K100" s="3">
        <f aca="true" t="shared" si="14" ref="K100:K111">INDEX($E$74:$E$90,I100,1)</f>
        <v>0</v>
      </c>
      <c r="L100" s="3">
        <f aca="true" t="shared" si="15" ref="L100:L111">INDEX($E$74:$E$90,J100,1)</f>
        <v>21.197916666666668</v>
      </c>
      <c r="M100" s="3">
        <f aca="true" t="shared" si="16" ref="M100:M111">INDEX($D$74:$D$90,I100,1)</f>
        <v>0</v>
      </c>
      <c r="N100" s="3">
        <f aca="true" t="shared" si="17" ref="N100:N111">INDEX($D$74:$D$90,J100,1)</f>
        <v>0</v>
      </c>
      <c r="O100" s="3">
        <f>M100+((D100-K100)/(L100-K100))*(N100-M100)</f>
        <v>0</v>
      </c>
    </row>
    <row r="101" spans="2:15" ht="15">
      <c r="B101" s="33">
        <f t="shared" si="11"/>
        <v>0.5</v>
      </c>
      <c r="C101" s="4">
        <f t="shared" si="9"/>
        <v>3.6000000000000005</v>
      </c>
      <c r="D101" s="4">
        <f>C100+C101+G100</f>
        <v>10.8</v>
      </c>
      <c r="E101" s="46">
        <f>(D101-K101)/(K101-L101)*(INDEX($C$74:$C$90,I101)-INDEX($C$74:$C$90,J101))+INDEX($C$74:$C$90,I101)</f>
        <v>3240</v>
      </c>
      <c r="F101" s="4">
        <f t="shared" si="10"/>
        <v>0</v>
      </c>
      <c r="G101" s="4">
        <f>D101-2*F101</f>
        <v>10.8</v>
      </c>
      <c r="I101" s="1">
        <f t="shared" si="12"/>
        <v>1</v>
      </c>
      <c r="J101" s="1">
        <f t="shared" si="13"/>
        <v>2</v>
      </c>
      <c r="K101" s="3">
        <f t="shared" si="14"/>
        <v>0</v>
      </c>
      <c r="L101" s="3">
        <f t="shared" si="15"/>
        <v>21.197916666666668</v>
      </c>
      <c r="M101" s="3">
        <f t="shared" si="16"/>
        <v>0</v>
      </c>
      <c r="N101" s="3">
        <f t="shared" si="17"/>
        <v>0</v>
      </c>
      <c r="O101" s="3">
        <f>M101+((D101-K101)/(L101-K101))*(N101-M101)</f>
        <v>0</v>
      </c>
    </row>
    <row r="102" spans="2:15" ht="15">
      <c r="B102" s="33">
        <f t="shared" si="11"/>
        <v>0.6666666666666666</v>
      </c>
      <c r="C102" s="4">
        <f t="shared" si="9"/>
        <v>4.800000000000001</v>
      </c>
      <c r="D102" s="4">
        <f>C101+C102+G101</f>
        <v>19.200000000000003</v>
      </c>
      <c r="E102" s="46">
        <f>(D102-K102)/(K102-L102)*(INDEX($C$74:$C$90,I102)-INDEX($C$74:$C$90,J102))+INDEX($C$74:$C$90,I102)</f>
        <v>5760</v>
      </c>
      <c r="F102" s="4">
        <f t="shared" si="10"/>
        <v>0</v>
      </c>
      <c r="G102" s="4">
        <f>D102-2*F102</f>
        <v>19.200000000000003</v>
      </c>
      <c r="I102" s="1">
        <f t="shared" si="12"/>
        <v>1</v>
      </c>
      <c r="J102" s="1">
        <f t="shared" si="13"/>
        <v>2</v>
      </c>
      <c r="K102" s="3">
        <f t="shared" si="14"/>
        <v>0</v>
      </c>
      <c r="L102" s="3">
        <f t="shared" si="15"/>
        <v>21.197916666666668</v>
      </c>
      <c r="M102" s="3">
        <f t="shared" si="16"/>
        <v>0</v>
      </c>
      <c r="N102" s="3">
        <f t="shared" si="17"/>
        <v>0</v>
      </c>
      <c r="O102" s="3">
        <f>M102+((D102-K102)/(L102-K102))*(N102-M102)</f>
        <v>0</v>
      </c>
    </row>
    <row r="103" spans="2:15" ht="15">
      <c r="B103" s="33">
        <f t="shared" si="11"/>
        <v>0.8333333333333333</v>
      </c>
      <c r="C103" s="4">
        <f t="shared" si="9"/>
        <v>6.000000000000001</v>
      </c>
      <c r="D103" s="4">
        <f>C102+C103+G102</f>
        <v>30.000000000000004</v>
      </c>
      <c r="E103" s="46">
        <f>(D103-K103)/(K103-L103)*(INDEX($C$74:$C$90,I103)-INDEX($C$74:$C$90,J103))+INDEX($C$74:$C$90,I103)</f>
        <v>9000</v>
      </c>
      <c r="F103" s="4">
        <f t="shared" si="10"/>
        <v>0</v>
      </c>
      <c r="G103" s="4">
        <f>D103-2*F103</f>
        <v>30.000000000000004</v>
      </c>
      <c r="I103" s="1">
        <f t="shared" si="12"/>
        <v>2</v>
      </c>
      <c r="J103" s="1">
        <f t="shared" si="13"/>
        <v>3</v>
      </c>
      <c r="K103" s="3">
        <f t="shared" si="14"/>
        <v>21.197916666666668</v>
      </c>
      <c r="L103" s="3">
        <f t="shared" si="15"/>
        <v>43.541666666666664</v>
      </c>
      <c r="M103" s="3">
        <f t="shared" si="16"/>
        <v>0</v>
      </c>
      <c r="N103" s="3">
        <f t="shared" si="17"/>
        <v>0</v>
      </c>
      <c r="O103" s="3">
        <f>M103+((D103-K103)/(L103-K103))*(N103-M103)</f>
        <v>0</v>
      </c>
    </row>
    <row r="104" spans="2:15" ht="15">
      <c r="B104" s="33">
        <f t="shared" si="11"/>
        <v>0.9999999999999999</v>
      </c>
      <c r="C104" s="4">
        <f t="shared" si="9"/>
        <v>7.199999999999999</v>
      </c>
      <c r="D104" s="4">
        <f>C103+C104+G103</f>
        <v>43.2</v>
      </c>
      <c r="E104" s="46">
        <f>(D104-K104)/(K104-L104)*(INDEX($C$74:$C$90,I104)-INDEX($C$74:$C$90,J104))+INDEX($C$74:$C$90,I104)</f>
        <v>12960.000000000002</v>
      </c>
      <c r="F104" s="4">
        <f t="shared" si="10"/>
        <v>0</v>
      </c>
      <c r="G104" s="4">
        <f>D104-2*F104</f>
        <v>43.2</v>
      </c>
      <c r="I104" s="1">
        <f t="shared" si="12"/>
        <v>2</v>
      </c>
      <c r="J104" s="1">
        <f t="shared" si="13"/>
        <v>3</v>
      </c>
      <c r="K104" s="3">
        <f t="shared" si="14"/>
        <v>21.197916666666668</v>
      </c>
      <c r="L104" s="3">
        <f t="shared" si="15"/>
        <v>43.541666666666664</v>
      </c>
      <c r="M104" s="3">
        <f t="shared" si="16"/>
        <v>0</v>
      </c>
      <c r="N104" s="3">
        <f t="shared" si="17"/>
        <v>0</v>
      </c>
      <c r="O104" s="3">
        <f>M104+((D104-K104)/(L104-K104))*(N104-M104)</f>
        <v>0</v>
      </c>
    </row>
    <row r="105" spans="2:15" ht="15">
      <c r="B105" s="33">
        <f t="shared" si="11"/>
        <v>1.1666666666666665</v>
      </c>
      <c r="C105" s="4">
        <f t="shared" si="9"/>
        <v>8.4</v>
      </c>
      <c r="D105" s="4">
        <f>C104+C105+G104</f>
        <v>58.800000000000004</v>
      </c>
      <c r="E105" s="46">
        <f>(D105-K105)/(K105-L105)*(INDEX($C$74:$C$90,I105)-INDEX($C$74:$C$90,J105))+INDEX($C$74:$C$90,I105)</f>
        <v>17552.548588032645</v>
      </c>
      <c r="F105" s="4">
        <f t="shared" si="10"/>
        <v>0.2915047065578622</v>
      </c>
      <c r="G105" s="4">
        <f>D105-2*F105</f>
        <v>58.21699058688428</v>
      </c>
      <c r="I105" s="1">
        <f t="shared" si="12"/>
        <v>3</v>
      </c>
      <c r="J105" s="1">
        <f t="shared" si="13"/>
        <v>4</v>
      </c>
      <c r="K105" s="3">
        <f t="shared" si="14"/>
        <v>43.541666666666664</v>
      </c>
      <c r="L105" s="3">
        <f t="shared" si="15"/>
        <v>67.48875</v>
      </c>
      <c r="M105" s="3">
        <f t="shared" si="16"/>
        <v>0</v>
      </c>
      <c r="N105" s="3">
        <f t="shared" si="17"/>
        <v>0.45750000000000013</v>
      </c>
      <c r="O105" s="3">
        <f>M105+((D105-K105)/(L105-K105))*(N105-M105)</f>
        <v>0.2915047065578622</v>
      </c>
    </row>
    <row r="106" spans="2:15" ht="15">
      <c r="B106" s="33">
        <f t="shared" si="11"/>
        <v>1.3333333333333333</v>
      </c>
      <c r="C106" s="4">
        <f t="shared" si="9"/>
        <v>9.600000000000001</v>
      </c>
      <c r="D106" s="4">
        <f>C105+C106+G105</f>
        <v>76.21699058688428</v>
      </c>
      <c r="E106" s="46">
        <f>(D106-K106)/(K106-L106)*(INDEX($C$74:$C$90,I106)-INDEX($C$74:$C$90,J106))+INDEX($C$74:$C$90,I106)</f>
        <v>22641.85577998866</v>
      </c>
      <c r="F106" s="4">
        <f t="shared" si="10"/>
        <v>0.7441379869220892</v>
      </c>
      <c r="G106" s="4">
        <f>D106-2*F106</f>
        <v>74.7287146130401</v>
      </c>
      <c r="I106" s="1">
        <f t="shared" si="12"/>
        <v>4</v>
      </c>
      <c r="J106" s="1">
        <f t="shared" si="13"/>
        <v>5</v>
      </c>
      <c r="K106" s="3">
        <f t="shared" si="14"/>
        <v>67.48875</v>
      </c>
      <c r="L106" s="3">
        <f>INDEX($E$74:$E$90,J106,1)</f>
        <v>92.96067207623805</v>
      </c>
      <c r="M106" s="3">
        <f t="shared" si="16"/>
        <v>0.45750000000000013</v>
      </c>
      <c r="N106" s="3">
        <f t="shared" si="17"/>
        <v>1.2940054095713822</v>
      </c>
      <c r="O106" s="3">
        <f>M106+((D106-K106)/(L106-K106))*(N106-M106)</f>
        <v>0.7441379869220892</v>
      </c>
    </row>
    <row r="107" spans="2:15" ht="15">
      <c r="B107" s="33">
        <f t="shared" si="11"/>
        <v>1.5</v>
      </c>
      <c r="C107" s="4">
        <f t="shared" si="9"/>
        <v>10.8</v>
      </c>
      <c r="D107" s="4">
        <f>C106+C107+G106</f>
        <v>95.1287146130401</v>
      </c>
      <c r="E107" s="46">
        <f>(D107-K107)/(K107-L107)*(INDEX($C$74:$C$90,I107)-INDEX($C$74:$C$90,J107))+INDEX($C$74:$C$90,I107)</f>
        <v>28124.186706636767</v>
      </c>
      <c r="F107" s="4">
        <f t="shared" si="10"/>
        <v>1.3814255909175386</v>
      </c>
      <c r="G107" s="4">
        <f>D107-2*F107</f>
        <v>92.36586343120503</v>
      </c>
      <c r="I107" s="1">
        <f t="shared" si="12"/>
        <v>5</v>
      </c>
      <c r="J107" s="1">
        <f t="shared" si="13"/>
        <v>6</v>
      </c>
      <c r="K107" s="3">
        <f t="shared" si="14"/>
        <v>92.96067207623805</v>
      </c>
      <c r="L107" s="3">
        <f t="shared" si="15"/>
        <v>119.82515640005495</v>
      </c>
      <c r="M107" s="3">
        <f t="shared" si="16"/>
        <v>1.2940054095713822</v>
      </c>
      <c r="N107" s="3">
        <f t="shared" si="17"/>
        <v>2.377239733388284</v>
      </c>
      <c r="O107" s="3">
        <f>M107+((D107-K107)/(L107-K107))*(N107-M107)</f>
        <v>1.3814255909175386</v>
      </c>
    </row>
    <row r="108" spans="2:15" ht="15">
      <c r="B108" s="33">
        <f t="shared" si="11"/>
        <v>1.6666666666666667</v>
      </c>
      <c r="C108" s="4">
        <f t="shared" si="9"/>
        <v>12</v>
      </c>
      <c r="D108" s="4">
        <f>C107+C108+G107</f>
        <v>115.16586343120503</v>
      </c>
      <c r="E108" s="46">
        <f>(D108-K108)/(K108-L108)*(INDEX($C$74:$C$90,I108)-INDEX($C$74:$C$90,J108))+INDEX($C$74:$C$90,I108)</f>
        <v>33892.94895133395</v>
      </c>
      <c r="F108" s="4">
        <f t="shared" si="10"/>
        <v>2.1893669267585123</v>
      </c>
      <c r="G108" s="4">
        <f>D108-2*F108</f>
        <v>110.787129577688</v>
      </c>
      <c r="I108" s="1">
        <f t="shared" si="12"/>
        <v>5</v>
      </c>
      <c r="J108" s="1">
        <f t="shared" si="13"/>
        <v>6</v>
      </c>
      <c r="K108" s="3">
        <f t="shared" si="14"/>
        <v>92.96067207623805</v>
      </c>
      <c r="L108" s="3">
        <f t="shared" si="15"/>
        <v>119.82515640005495</v>
      </c>
      <c r="M108" s="3">
        <f t="shared" si="16"/>
        <v>1.2940054095713822</v>
      </c>
      <c r="N108" s="3">
        <f t="shared" si="17"/>
        <v>2.377239733388284</v>
      </c>
      <c r="O108" s="3">
        <f>M108+((D108-K108)/(L108-K108))*(N108-M108)</f>
        <v>2.1893669267585123</v>
      </c>
    </row>
    <row r="109" spans="2:15" ht="15">
      <c r="B109" s="33">
        <f t="shared" si="11"/>
        <v>1.8333333333333335</v>
      </c>
      <c r="C109" s="4">
        <f t="shared" si="9"/>
        <v>11.399999999999999</v>
      </c>
      <c r="D109" s="4">
        <f>C108+C109+G108</f>
        <v>134.187129577688</v>
      </c>
      <c r="E109" s="46">
        <f>(D109-K109)/(K109-L109)*(INDEX($C$74:$C$90,I109)-INDEX($C$74:$C$90,J109))+INDEX($C$74:$C$90,I109)</f>
        <v>39347.04631505093</v>
      </c>
      <c r="F109" s="4">
        <f t="shared" si="10"/>
        <v>3.030308527518245</v>
      </c>
      <c r="G109" s="4">
        <f>D109-2*F109</f>
        <v>128.12651252265152</v>
      </c>
      <c r="I109" s="1">
        <f t="shared" si="12"/>
        <v>6</v>
      </c>
      <c r="J109" s="1">
        <f t="shared" si="13"/>
        <v>7</v>
      </c>
      <c r="K109" s="3">
        <f t="shared" si="14"/>
        <v>119.82515640005495</v>
      </c>
      <c r="L109" s="3">
        <f t="shared" si="15"/>
        <v>148.035</v>
      </c>
      <c r="M109" s="3">
        <f t="shared" si="16"/>
        <v>2.377239733388284</v>
      </c>
      <c r="N109" s="3">
        <f t="shared" si="17"/>
        <v>3.66</v>
      </c>
      <c r="O109" s="3">
        <f>M109+((D109-K109)/(L109-K109))*(N109-M109)</f>
        <v>3.030308527518245</v>
      </c>
    </row>
    <row r="110" spans="2:15" ht="15">
      <c r="B110" s="33">
        <f t="shared" si="11"/>
        <v>2</v>
      </c>
      <c r="C110" s="4">
        <f t="shared" si="9"/>
        <v>10.799999999999999</v>
      </c>
      <c r="D110" s="4">
        <f>C109+C110+G109</f>
        <v>150.3265125226515</v>
      </c>
      <c r="E110" s="46">
        <f>(D110-K110)/(K110-L110)*(INDEX($C$74:$C$90,I110)-INDEX($C$74:$C$90,J110))+INDEX($C$74:$C$90,I110)</f>
        <v>43966.07907402817</v>
      </c>
      <c r="F110" s="4">
        <f t="shared" si="10"/>
        <v>3.7729156092242695</v>
      </c>
      <c r="G110" s="4">
        <f>D110-2*F110</f>
        <v>142.78068130420297</v>
      </c>
      <c r="I110" s="1">
        <f t="shared" si="12"/>
        <v>7</v>
      </c>
      <c r="J110" s="1">
        <f t="shared" si="13"/>
        <v>8</v>
      </c>
      <c r="K110" s="3">
        <f t="shared" si="14"/>
        <v>148.035</v>
      </c>
      <c r="L110" s="3">
        <f t="shared" si="15"/>
        <v>177.56292216519742</v>
      </c>
      <c r="M110" s="3">
        <f t="shared" si="16"/>
        <v>3.66</v>
      </c>
      <c r="N110" s="3">
        <f t="shared" si="17"/>
        <v>5.11500549853077</v>
      </c>
      <c r="O110" s="3">
        <f>M110+((D110-K110)/(L110-K110))*(N110-M110)</f>
        <v>3.7729156092242695</v>
      </c>
    </row>
    <row r="111" spans="2:15" ht="15">
      <c r="B111" s="33">
        <f t="shared" si="11"/>
        <v>2.1666666666666665</v>
      </c>
      <c r="C111" s="4">
        <f t="shared" si="9"/>
        <v>10.2</v>
      </c>
      <c r="D111" s="4">
        <f>C110+C111+G110</f>
        <v>163.78068130420297</v>
      </c>
      <c r="E111" s="46">
        <f>(D111-K111)/(K111-L111)*(INDEX($C$74:$C$90,I111)-INDEX($C$74:$C$90,J111))+INDEX($C$74:$C$90,I111)</f>
        <v>47803.441116409835</v>
      </c>
      <c r="F111" s="4">
        <f t="shared" si="10"/>
        <v>4.4358775828368655</v>
      </c>
      <c r="G111" s="4">
        <f>D111-2*F111</f>
        <v>154.90892613852924</v>
      </c>
      <c r="I111" s="1">
        <f t="shared" si="12"/>
        <v>7</v>
      </c>
      <c r="J111" s="1">
        <f t="shared" si="13"/>
        <v>8</v>
      </c>
      <c r="K111" s="3">
        <f t="shared" si="14"/>
        <v>148.035</v>
      </c>
      <c r="L111" s="3">
        <f t="shared" si="15"/>
        <v>177.56292216519742</v>
      </c>
      <c r="M111" s="3">
        <f t="shared" si="16"/>
        <v>3.66</v>
      </c>
      <c r="N111" s="3">
        <f t="shared" si="17"/>
        <v>5.11500549853077</v>
      </c>
      <c r="O111" s="3">
        <f>M111+((D111-K111)/(L111-K111))*(N111-M111)</f>
        <v>4.4358775828368655</v>
      </c>
    </row>
    <row r="112" spans="2:15" ht="15">
      <c r="B112" s="33">
        <f aca="true" t="shared" si="18" ref="B112:B125">B111+$C$26</f>
        <v>2.333333333333333</v>
      </c>
      <c r="C112" s="4">
        <f t="shared" si="9"/>
        <v>9.600000000000001</v>
      </c>
      <c r="D112" s="4">
        <f>C111+C112+G111</f>
        <v>174.70892613852925</v>
      </c>
      <c r="E112" s="46">
        <f>(D112-K112)/(K112-L112)*(INDEX($C$74:$C$90,I112)-INDEX($C$74:$C$90,J112))+INDEX($C$74:$C$90,I112)</f>
        <v>50920.36588508078</v>
      </c>
      <c r="F112" s="4">
        <f aca="true" t="shared" si="19" ref="F112:F125">O112</f>
        <v>4.974373188260001</v>
      </c>
      <c r="G112" s="4">
        <f>D112-2*F112</f>
        <v>164.76017976200924</v>
      </c>
      <c r="I112" s="1">
        <f aca="true" t="shared" si="20" ref="I112:I125">MATCH(D112,$E$74:$E$90,1)</f>
        <v>7</v>
      </c>
      <c r="J112" s="1">
        <f t="shared" si="13"/>
        <v>8</v>
      </c>
      <c r="K112" s="3">
        <f aca="true" t="shared" si="21" ref="K112:K125">INDEX($E$74:$E$90,I112,1)</f>
        <v>148.035</v>
      </c>
      <c r="L112" s="3">
        <f aca="true" t="shared" si="22" ref="L112:L125">INDEX($E$74:$E$90,J112,1)</f>
        <v>177.56292216519742</v>
      </c>
      <c r="M112" s="3">
        <f aca="true" t="shared" si="23" ref="M112:M125">INDEX($D$74:$D$90,I112,1)</f>
        <v>3.66</v>
      </c>
      <c r="N112" s="3">
        <f aca="true" t="shared" si="24" ref="N112:N125">INDEX($D$74:$D$90,J112,1)</f>
        <v>5.11500549853077</v>
      </c>
      <c r="O112" s="3">
        <f>M112+((D112-K112)/(L112-K112))*(N112-M112)</f>
        <v>4.974373188260001</v>
      </c>
    </row>
    <row r="113" spans="2:15" ht="15">
      <c r="B113" s="33">
        <f t="shared" si="18"/>
        <v>2.4999999999999996</v>
      </c>
      <c r="C113" s="4">
        <f t="shared" si="9"/>
        <v>9.000000000000002</v>
      </c>
      <c r="D113" s="4">
        <f>C112+C113+G112</f>
        <v>183.36017976200924</v>
      </c>
      <c r="E113" s="46">
        <f>(D113-K113)/(K113-L113)*(INDEX($C$74:$C$90,I113)-INDEX($C$74:$C$90,J113))+INDEX($C$74:$C$90,I113)</f>
        <v>53382.78734047922</v>
      </c>
      <c r="F113" s="4">
        <f t="shared" si="19"/>
        <v>5.417555293745181</v>
      </c>
      <c r="G113" s="4">
        <f>D113-2*F113</f>
        <v>172.52506917451888</v>
      </c>
      <c r="I113" s="1">
        <f t="shared" si="20"/>
        <v>8</v>
      </c>
      <c r="J113" s="1">
        <f t="shared" si="13"/>
        <v>9</v>
      </c>
      <c r="K113" s="3">
        <f t="shared" si="21"/>
        <v>177.56292216519742</v>
      </c>
      <c r="L113" s="3">
        <f t="shared" si="22"/>
        <v>208.3905160106065</v>
      </c>
      <c r="M113" s="3">
        <f t="shared" si="23"/>
        <v>5.11500549853077</v>
      </c>
      <c r="N113" s="3">
        <f t="shared" si="24"/>
        <v>6.723849343939825</v>
      </c>
      <c r="O113" s="3">
        <f>M113+((D113-K113)/(L113-K113))*(N113-M113)</f>
        <v>5.417555293745181</v>
      </c>
    </row>
    <row r="114" spans="2:15" ht="15">
      <c r="B114" s="33">
        <f t="shared" si="18"/>
        <v>2.666666666666666</v>
      </c>
      <c r="C114" s="4">
        <f t="shared" si="9"/>
        <v>8.400000000000002</v>
      </c>
      <c r="D114" s="4">
        <f>C113+C114+G113</f>
        <v>189.92506917451888</v>
      </c>
      <c r="E114" s="46">
        <f>(D114-K114)/(K114-L114)*(INDEX($C$74:$C$90,I114)-INDEX($C$74:$C$90,J114))+INDEX($C$74:$C$90,I114)</f>
        <v>55249.47077497307</v>
      </c>
      <c r="F114" s="4">
        <f t="shared" si="19"/>
        <v>5.760166591275303</v>
      </c>
      <c r="G114" s="4">
        <f>D114-2*F114</f>
        <v>178.40473599196827</v>
      </c>
      <c r="I114" s="1">
        <f t="shared" si="20"/>
        <v>8</v>
      </c>
      <c r="J114" s="1">
        <f t="shared" si="13"/>
        <v>9</v>
      </c>
      <c r="K114" s="3">
        <f t="shared" si="21"/>
        <v>177.56292216519742</v>
      </c>
      <c r="L114" s="3">
        <f t="shared" si="22"/>
        <v>208.3905160106065</v>
      </c>
      <c r="M114" s="3">
        <f t="shared" si="23"/>
        <v>5.11500549853077</v>
      </c>
      <c r="N114" s="3">
        <f t="shared" si="24"/>
        <v>6.723849343939825</v>
      </c>
      <c r="O114" s="3">
        <f>M114+((D114-K114)/(L114-K114))*(N114-M114)</f>
        <v>5.760166591275303</v>
      </c>
    </row>
    <row r="115" spans="2:15" ht="15">
      <c r="B115" s="33">
        <f t="shared" si="18"/>
        <v>2.8333333333333326</v>
      </c>
      <c r="C115" s="4">
        <f t="shared" si="9"/>
        <v>7.8000000000000025</v>
      </c>
      <c r="D115" s="4">
        <f>C114+C115+G114</f>
        <v>194.60473599196825</v>
      </c>
      <c r="E115" s="46">
        <f>(D115-K115)/(K115-L115)*(INDEX($C$74:$C$90,I115)-INDEX($C$74:$C$90,J115))+INDEX($C$74:$C$90,I115)</f>
        <v>56580.10347541698</v>
      </c>
      <c r="F115" s="4">
        <f t="shared" si="19"/>
        <v>6.004391073911648</v>
      </c>
      <c r="G115" s="4">
        <f>D115-2*F115</f>
        <v>182.59595384414496</v>
      </c>
      <c r="I115" s="1">
        <f t="shared" si="20"/>
        <v>8</v>
      </c>
      <c r="J115" s="1">
        <f t="shared" si="13"/>
        <v>9</v>
      </c>
      <c r="K115" s="3">
        <f t="shared" si="21"/>
        <v>177.56292216519742</v>
      </c>
      <c r="L115" s="3">
        <f t="shared" si="22"/>
        <v>208.3905160106065</v>
      </c>
      <c r="M115" s="3">
        <f t="shared" si="23"/>
        <v>5.11500549853077</v>
      </c>
      <c r="N115" s="3">
        <f t="shared" si="24"/>
        <v>6.723849343939825</v>
      </c>
      <c r="O115" s="3">
        <f>M115+((D115-K115)/(L115-K115))*(N115-M115)</f>
        <v>6.004391073911648</v>
      </c>
    </row>
    <row r="116" spans="2:15" ht="15">
      <c r="B116" s="33">
        <f t="shared" si="18"/>
        <v>2.999999999999999</v>
      </c>
      <c r="C116" s="4">
        <f t="shared" si="9"/>
        <v>7.200000000000003</v>
      </c>
      <c r="D116" s="4">
        <f>C115+C116+G115</f>
        <v>197.59595384414496</v>
      </c>
      <c r="E116" s="46">
        <f>(D116-K116)/(K116-L116)*(INDEX($C$74:$C$90,I116)-INDEX($C$74:$C$90,J116))+INDEX($C$74:$C$90,I116)</f>
        <v>57430.636738472516</v>
      </c>
      <c r="F116" s="4">
        <f t="shared" si="19"/>
        <v>6.160498049236577</v>
      </c>
      <c r="G116" s="4">
        <f>D116-2*F116</f>
        <v>185.2749577456718</v>
      </c>
      <c r="I116" s="1">
        <f t="shared" si="20"/>
        <v>8</v>
      </c>
      <c r="J116" s="1">
        <f t="shared" si="13"/>
        <v>9</v>
      </c>
      <c r="K116" s="3">
        <f t="shared" si="21"/>
        <v>177.56292216519742</v>
      </c>
      <c r="L116" s="3">
        <f t="shared" si="22"/>
        <v>208.3905160106065</v>
      </c>
      <c r="M116" s="3">
        <f t="shared" si="23"/>
        <v>5.11500549853077</v>
      </c>
      <c r="N116" s="3">
        <f t="shared" si="24"/>
        <v>6.723849343939825</v>
      </c>
      <c r="O116" s="3">
        <f>M116+((D116-K116)/(L116-K116))*(N116-M116)</f>
        <v>6.160498049236577</v>
      </c>
    </row>
    <row r="117" spans="2:15" ht="15">
      <c r="B117" s="33">
        <f t="shared" si="18"/>
        <v>3.1666666666666656</v>
      </c>
      <c r="C117" s="4">
        <f t="shared" si="9"/>
        <v>6.600000000000004</v>
      </c>
      <c r="D117" s="4">
        <f>C116+C117+G116</f>
        <v>199.0749577456718</v>
      </c>
      <c r="E117" s="46">
        <f>(D117-K117)/(K117-L117)*(INDEX($C$74:$C$90,I117)-INDEX($C$74:$C$90,J117))+INDEX($C$74:$C$90,I117)</f>
        <v>57851.18183970013</v>
      </c>
      <c r="F117" s="4">
        <f t="shared" si="19"/>
        <v>6.237684946671383</v>
      </c>
      <c r="G117" s="4">
        <f>D117-2*F117</f>
        <v>186.59958785232905</v>
      </c>
      <c r="I117" s="1">
        <f t="shared" si="20"/>
        <v>8</v>
      </c>
      <c r="J117" s="1">
        <f t="shared" si="13"/>
        <v>9</v>
      </c>
      <c r="K117" s="3">
        <f t="shared" si="21"/>
        <v>177.56292216519742</v>
      </c>
      <c r="L117" s="3">
        <f t="shared" si="22"/>
        <v>208.3905160106065</v>
      </c>
      <c r="M117" s="3">
        <f t="shared" si="23"/>
        <v>5.11500549853077</v>
      </c>
      <c r="N117" s="3">
        <f t="shared" si="24"/>
        <v>6.723849343939825</v>
      </c>
      <c r="O117" s="3">
        <f>M117+((D117-K117)/(L117-K117))*(N117-M117)</f>
        <v>6.237684946671383</v>
      </c>
    </row>
    <row r="118" spans="2:15" ht="15">
      <c r="B118" s="33">
        <f t="shared" si="18"/>
        <v>3.333333333333332</v>
      </c>
      <c r="C118" s="4">
        <f t="shared" si="9"/>
        <v>6.000000000000004</v>
      </c>
      <c r="D118" s="4">
        <f>C117+C118+G117</f>
        <v>199.19958785232905</v>
      </c>
      <c r="E118" s="46">
        <f>(D118-K118)/(K118-L118)*(INDEX($C$74:$C$90,I118)-INDEX($C$74:$C$90,J118))+INDEX($C$74:$C$90,I118)</f>
        <v>57886.61959667026</v>
      </c>
      <c r="F118" s="4">
        <f t="shared" si="19"/>
        <v>6.2441891967615355</v>
      </c>
      <c r="G118" s="4">
        <f>D118-2*F118</f>
        <v>186.71120945880597</v>
      </c>
      <c r="I118" s="1">
        <f t="shared" si="20"/>
        <v>8</v>
      </c>
      <c r="J118" s="1">
        <f t="shared" si="13"/>
        <v>9</v>
      </c>
      <c r="K118" s="3">
        <f t="shared" si="21"/>
        <v>177.56292216519742</v>
      </c>
      <c r="L118" s="3">
        <f t="shared" si="22"/>
        <v>208.3905160106065</v>
      </c>
      <c r="M118" s="3">
        <f t="shared" si="23"/>
        <v>5.11500549853077</v>
      </c>
      <c r="N118" s="3">
        <f t="shared" si="24"/>
        <v>6.723849343939825</v>
      </c>
      <c r="O118" s="3">
        <f>M118+((D118-K118)/(L118-K118))*(N118-M118)</f>
        <v>6.2441891967615355</v>
      </c>
    </row>
    <row r="119" spans="2:15" ht="15">
      <c r="B119" s="33">
        <f t="shared" si="18"/>
        <v>3.4999999999999987</v>
      </c>
      <c r="C119" s="4">
        <f t="shared" si="9"/>
        <v>5.400000000000005</v>
      </c>
      <c r="D119" s="4">
        <f>C118+C119+G118</f>
        <v>198.11120945880597</v>
      </c>
      <c r="E119" s="46">
        <f>(D119-K119)/(K119-L119)*(INDEX($C$74:$C$90,I119)-INDEX($C$74:$C$90,J119))+INDEX($C$74:$C$90,I119)</f>
        <v>57577.14630778603</v>
      </c>
      <c r="F119" s="4">
        <f t="shared" si="19"/>
        <v>6.187388432852529</v>
      </c>
      <c r="G119" s="4">
        <f>D119-2*F119</f>
        <v>185.73643259310091</v>
      </c>
      <c r="I119" s="1">
        <f t="shared" si="20"/>
        <v>8</v>
      </c>
      <c r="J119" s="1">
        <f t="shared" si="13"/>
        <v>9</v>
      </c>
      <c r="K119" s="3">
        <f t="shared" si="21"/>
        <v>177.56292216519742</v>
      </c>
      <c r="L119" s="3">
        <f t="shared" si="22"/>
        <v>208.3905160106065</v>
      </c>
      <c r="M119" s="3">
        <f t="shared" si="23"/>
        <v>5.11500549853077</v>
      </c>
      <c r="N119" s="3">
        <f t="shared" si="24"/>
        <v>6.723849343939825</v>
      </c>
      <c r="O119" s="3">
        <f>M119+((D119-K119)/(L119-K119))*(N119-M119)</f>
        <v>6.187388432852529</v>
      </c>
    </row>
    <row r="120" spans="2:15" ht="15">
      <c r="B120" s="33">
        <f t="shared" si="18"/>
        <v>3.666666666666665</v>
      </c>
      <c r="C120" s="4">
        <f t="shared" si="9"/>
        <v>4.800000000000005</v>
      </c>
      <c r="D120" s="4">
        <f>C119+C120+G119</f>
        <v>195.93643259310093</v>
      </c>
      <c r="E120" s="46">
        <f>(D120-K120)/(K120-L120)*(INDEX($C$74:$C$90,I120)-INDEX($C$74:$C$90,J120))+INDEX($C$74:$C$90,I120)</f>
        <v>56958.76270772168</v>
      </c>
      <c r="F120" s="4">
        <f t="shared" si="19"/>
        <v>6.073890234028666</v>
      </c>
      <c r="G120" s="4">
        <f>D120-2*F120</f>
        <v>183.7886521250436</v>
      </c>
      <c r="I120" s="1">
        <f t="shared" si="20"/>
        <v>8</v>
      </c>
      <c r="J120" s="1">
        <f t="shared" si="13"/>
        <v>9</v>
      </c>
      <c r="K120" s="3">
        <f t="shared" si="21"/>
        <v>177.56292216519742</v>
      </c>
      <c r="L120" s="3">
        <f t="shared" si="22"/>
        <v>208.3905160106065</v>
      </c>
      <c r="M120" s="3">
        <f t="shared" si="23"/>
        <v>5.11500549853077</v>
      </c>
      <c r="N120" s="3">
        <f t="shared" si="24"/>
        <v>6.723849343939825</v>
      </c>
      <c r="O120" s="3">
        <f>M120+((D120-K120)/(L120-K120))*(N120-M120)</f>
        <v>6.073890234028666</v>
      </c>
    </row>
    <row r="121" spans="2:15" ht="15">
      <c r="B121" s="33">
        <f t="shared" si="18"/>
        <v>3.8333333333333317</v>
      </c>
      <c r="C121" s="4">
        <f t="shared" si="9"/>
        <v>4.200000000000006</v>
      </c>
      <c r="D121" s="4">
        <f>C120+C121+G120</f>
        <v>192.7886521250436</v>
      </c>
      <c r="E121" s="46">
        <f>(D121-K121)/(K121-L121)*(INDEX($C$74:$C$90,I121)-INDEX($C$74:$C$90,J121))+INDEX($C$74:$C$90,I121)</f>
        <v>56063.711887223595</v>
      </c>
      <c r="F121" s="4">
        <f t="shared" si="19"/>
        <v>5.909612500964946</v>
      </c>
      <c r="G121" s="4">
        <f>D121-2*F121</f>
        <v>180.96942712311372</v>
      </c>
      <c r="I121" s="1">
        <f t="shared" si="20"/>
        <v>8</v>
      </c>
      <c r="J121" s="1">
        <f t="shared" si="13"/>
        <v>9</v>
      </c>
      <c r="K121" s="3">
        <f t="shared" si="21"/>
        <v>177.56292216519742</v>
      </c>
      <c r="L121" s="3">
        <f t="shared" si="22"/>
        <v>208.3905160106065</v>
      </c>
      <c r="M121" s="3">
        <f t="shared" si="23"/>
        <v>5.11500549853077</v>
      </c>
      <c r="N121" s="3">
        <f t="shared" si="24"/>
        <v>6.723849343939825</v>
      </c>
      <c r="O121" s="3">
        <f>M121+((D121-K121)/(L121-K121))*(N121-M121)</f>
        <v>5.909612500964946</v>
      </c>
    </row>
    <row r="122" spans="2:15" ht="15">
      <c r="B122" s="33">
        <f t="shared" si="18"/>
        <v>3.9999999999999982</v>
      </c>
      <c r="C122" s="4">
        <f t="shared" si="9"/>
        <v>3.6000000000000068</v>
      </c>
      <c r="D122" s="4">
        <f>C121+C122+G121</f>
        <v>188.76942712311373</v>
      </c>
      <c r="E122" s="46">
        <f>(D122-K122)/(K122-L122)*(INDEX($C$74:$C$90,I122)-INDEX($C$74:$C$90,J122))+INDEX($C$74:$C$90,I122)</f>
        <v>54920.87150421433</v>
      </c>
      <c r="F122" s="4">
        <f t="shared" si="19"/>
        <v>5.699855442399312</v>
      </c>
      <c r="G122" s="4">
        <f>D122-2*F122</f>
        <v>177.3697162383151</v>
      </c>
      <c r="I122" s="1">
        <f t="shared" si="20"/>
        <v>8</v>
      </c>
      <c r="J122" s="1">
        <f t="shared" si="13"/>
        <v>9</v>
      </c>
      <c r="K122" s="3">
        <f t="shared" si="21"/>
        <v>177.56292216519742</v>
      </c>
      <c r="L122" s="3">
        <f t="shared" si="22"/>
        <v>208.3905160106065</v>
      </c>
      <c r="M122" s="3">
        <f t="shared" si="23"/>
        <v>5.11500549853077</v>
      </c>
      <c r="N122" s="3">
        <f t="shared" si="24"/>
        <v>6.723849343939825</v>
      </c>
      <c r="O122" s="3">
        <f>M122+((D122-K122)/(L122-K122))*(N122-M122)</f>
        <v>5.699855442399312</v>
      </c>
    </row>
    <row r="123" spans="2:15" ht="15">
      <c r="B123" s="33">
        <f t="shared" si="18"/>
        <v>4.166666666666665</v>
      </c>
      <c r="C123" s="4">
        <f t="shared" si="9"/>
        <v>3.0000000000000053</v>
      </c>
      <c r="D123" s="4">
        <f>C122+C123+G122</f>
        <v>183.96971623831513</v>
      </c>
      <c r="E123" s="46">
        <f>(D123-K123)/(K123-L123)*(INDEX($C$74:$C$90,I123)-INDEX($C$74:$C$90,J123))+INDEX($C$74:$C$90,I123)</f>
        <v>53556.10505712983</v>
      </c>
      <c r="F123" s="4">
        <f t="shared" si="19"/>
        <v>5.449366047882359</v>
      </c>
      <c r="G123" s="4">
        <f>D123-2*F123</f>
        <v>173.0709841425504</v>
      </c>
      <c r="I123" s="1">
        <f t="shared" si="20"/>
        <v>8</v>
      </c>
      <c r="J123" s="1">
        <f t="shared" si="13"/>
        <v>9</v>
      </c>
      <c r="K123" s="3">
        <f t="shared" si="21"/>
        <v>177.56292216519742</v>
      </c>
      <c r="L123" s="3">
        <f t="shared" si="22"/>
        <v>208.3905160106065</v>
      </c>
      <c r="M123" s="3">
        <f t="shared" si="23"/>
        <v>5.11500549853077</v>
      </c>
      <c r="N123" s="3">
        <f t="shared" si="24"/>
        <v>6.723849343939825</v>
      </c>
      <c r="O123" s="3">
        <f>M123+((D123-K123)/(L123-K123))*(N123-M123)</f>
        <v>5.449366047882359</v>
      </c>
    </row>
    <row r="124" spans="2:15" ht="15">
      <c r="B124" s="33">
        <f t="shared" si="18"/>
        <v>4.333333333333332</v>
      </c>
      <c r="C124" s="4">
        <f t="shared" si="9"/>
        <v>2.400000000000004</v>
      </c>
      <c r="D124" s="4">
        <f>C123+C124+G123</f>
        <v>178.4709841425504</v>
      </c>
      <c r="E124" s="46">
        <f>(D124-K124)/(K124-L124)*(INDEX($C$74:$C$90,I124)-INDEX($C$74:$C$90,J124))+INDEX($C$74:$C$90,I124)</f>
        <v>51992.57649344611</v>
      </c>
      <c r="F124" s="4">
        <f t="shared" si="19"/>
        <v>5.162395831063384</v>
      </c>
      <c r="G124" s="4">
        <f>D124-2*F124</f>
        <v>168.14619248042365</v>
      </c>
      <c r="I124" s="1">
        <f t="shared" si="20"/>
        <v>8</v>
      </c>
      <c r="J124" s="1">
        <f t="shared" si="13"/>
        <v>9</v>
      </c>
      <c r="K124" s="3">
        <f t="shared" si="21"/>
        <v>177.56292216519742</v>
      </c>
      <c r="L124" s="3">
        <f t="shared" si="22"/>
        <v>208.3905160106065</v>
      </c>
      <c r="M124" s="3">
        <f t="shared" si="23"/>
        <v>5.11500549853077</v>
      </c>
      <c r="N124" s="3">
        <f t="shared" si="24"/>
        <v>6.723849343939825</v>
      </c>
      <c r="O124" s="3">
        <f>M124+((D124-K124)/(L124-K124))*(N124-M124)</f>
        <v>5.162395831063384</v>
      </c>
    </row>
    <row r="125" spans="2:15" ht="15">
      <c r="B125" s="33">
        <f t="shared" si="18"/>
        <v>4.499999999999999</v>
      </c>
      <c r="C125" s="4">
        <f t="shared" si="9"/>
        <v>1.8000000000000043</v>
      </c>
      <c r="D125" s="4">
        <f>C124+C125+G124</f>
        <v>172.34619248042367</v>
      </c>
      <c r="E125" s="46">
        <f>(D125-K125)/(K125-L125)*(INDEX($C$74:$C$90,I125)-INDEX($C$74:$C$90,J125))+INDEX($C$74:$C$90,I125)</f>
        <v>50246.473309249246</v>
      </c>
      <c r="F125" s="4">
        <f t="shared" si="19"/>
        <v>4.857948116259532</v>
      </c>
      <c r="G125" s="4">
        <f>D125-2*F125</f>
        <v>162.6302962479046</v>
      </c>
      <c r="I125" s="1">
        <f t="shared" si="20"/>
        <v>7</v>
      </c>
      <c r="J125" s="1">
        <f t="shared" si="13"/>
        <v>8</v>
      </c>
      <c r="K125" s="3">
        <f t="shared" si="21"/>
        <v>148.035</v>
      </c>
      <c r="L125" s="3">
        <f t="shared" si="22"/>
        <v>177.56292216519742</v>
      </c>
      <c r="M125" s="3">
        <f t="shared" si="23"/>
        <v>3.66</v>
      </c>
      <c r="N125" s="3">
        <f t="shared" si="24"/>
        <v>5.11500549853077</v>
      </c>
      <c r="O125" s="3">
        <f>M125+((D125-K125)/(L125-K125))*(N125-M125)</f>
        <v>4.857948116259532</v>
      </c>
    </row>
    <row r="126" spans="2:15" ht="15">
      <c r="B126" s="33">
        <f aca="true" t="shared" si="25" ref="B126:B134">B125+$C$26</f>
        <v>4.666666666666666</v>
      </c>
      <c r="C126" s="4">
        <f t="shared" si="9"/>
        <v>1.2000000000000028</v>
      </c>
      <c r="D126" s="4">
        <f>C125+C126+G125</f>
        <v>165.6302962479046</v>
      </c>
      <c r="E126" s="46">
        <f>(D126-K126)/(K126-L126)*(INDEX($C$74:$C$90,I126)-INDEX($C$74:$C$90,J126))+INDEX($C$74:$C$90,I126)</f>
        <v>48330.98334463837</v>
      </c>
      <c r="F126" s="4">
        <f aca="true" t="shared" si="26" ref="F126:F134">O126</f>
        <v>4.52701843244336</v>
      </c>
      <c r="G126" s="4">
        <f>D126-2*F126</f>
        <v>156.57625938301788</v>
      </c>
      <c r="I126" s="1">
        <f aca="true" t="shared" si="27" ref="I126:I134">MATCH(D126,$E$74:$E$90,1)</f>
        <v>7</v>
      </c>
      <c r="J126" s="1">
        <f t="shared" si="13"/>
        <v>8</v>
      </c>
      <c r="K126" s="3">
        <f aca="true" t="shared" si="28" ref="K126:K134">INDEX($E$74:$E$90,I126,1)</f>
        <v>148.035</v>
      </c>
      <c r="L126" s="3">
        <f aca="true" t="shared" si="29" ref="L126:L134">INDEX($E$74:$E$90,J126,1)</f>
        <v>177.56292216519742</v>
      </c>
      <c r="M126" s="3">
        <f aca="true" t="shared" si="30" ref="M126:M134">INDEX($D$74:$D$90,I126,1)</f>
        <v>3.66</v>
      </c>
      <c r="N126" s="3">
        <f aca="true" t="shared" si="31" ref="N126:N134">INDEX($D$74:$D$90,J126,1)</f>
        <v>5.11500549853077</v>
      </c>
      <c r="O126" s="3">
        <f>M126+((D126-K126)/(L126-K126))*(N126-M126)</f>
        <v>4.52701843244336</v>
      </c>
    </row>
    <row r="127" spans="2:15" ht="15">
      <c r="B127" s="33">
        <f t="shared" si="25"/>
        <v>4.833333333333333</v>
      </c>
      <c r="C127" s="4">
        <f t="shared" si="9"/>
        <v>0.6000000000000014</v>
      </c>
      <c r="D127" s="4">
        <f>C126+C127+G126</f>
        <v>158.3762593830179</v>
      </c>
      <c r="E127" s="46">
        <f>(D127-K127)/(K127-L127)*(INDEX($C$74:$C$90,I127)-INDEX($C$74:$C$90,J127))+INDEX($C$74:$C$90,I127)</f>
        <v>46262.00634789346</v>
      </c>
      <c r="F127" s="4">
        <f t="shared" si="26"/>
        <v>4.169571556706362</v>
      </c>
      <c r="G127" s="4">
        <f>D127-2*F127</f>
        <v>150.03711626960518</v>
      </c>
      <c r="I127" s="1">
        <f t="shared" si="27"/>
        <v>7</v>
      </c>
      <c r="J127" s="1">
        <f t="shared" si="13"/>
        <v>8</v>
      </c>
      <c r="K127" s="3">
        <f t="shared" si="28"/>
        <v>148.035</v>
      </c>
      <c r="L127" s="3">
        <f t="shared" si="29"/>
        <v>177.56292216519742</v>
      </c>
      <c r="M127" s="3">
        <f t="shared" si="30"/>
        <v>3.66</v>
      </c>
      <c r="N127" s="3">
        <f t="shared" si="31"/>
        <v>5.11500549853077</v>
      </c>
      <c r="O127" s="3">
        <f>M127+((D127-K127)/(L127-K127))*(N127-M127)</f>
        <v>4.169571556706362</v>
      </c>
    </row>
    <row r="128" spans="2:15" ht="15">
      <c r="B128" s="33">
        <f t="shared" si="25"/>
        <v>5</v>
      </c>
      <c r="C128" s="4">
        <f t="shared" si="9"/>
        <v>0</v>
      </c>
      <c r="D128" s="4">
        <f>C127+C128+G127</f>
        <v>150.63711626960517</v>
      </c>
      <c r="E128" s="46">
        <f>(D128-K128)/(K128-L128)*(INDEX($C$74:$C$90,I128)-INDEX($C$74:$C$90,J128))+INDEX($C$74:$C$90,I128)</f>
        <v>44054.66864415575</v>
      </c>
      <c r="F128" s="4">
        <f t="shared" si="26"/>
        <v>3.7882207890860102</v>
      </c>
      <c r="G128" s="4">
        <f>D128-2*F128</f>
        <v>143.06067469143315</v>
      </c>
      <c r="I128" s="1">
        <f t="shared" si="27"/>
        <v>7</v>
      </c>
      <c r="J128" s="1">
        <f t="shared" si="13"/>
        <v>8</v>
      </c>
      <c r="K128" s="3">
        <f t="shared" si="28"/>
        <v>148.035</v>
      </c>
      <c r="L128" s="3">
        <f t="shared" si="29"/>
        <v>177.56292216519742</v>
      </c>
      <c r="M128" s="3">
        <f t="shared" si="30"/>
        <v>3.66</v>
      </c>
      <c r="N128" s="3">
        <f t="shared" si="31"/>
        <v>5.11500549853077</v>
      </c>
      <c r="O128" s="3">
        <f>M128+((D128-K128)/(L128-K128))*(N128-M128)</f>
        <v>3.7882207890860102</v>
      </c>
    </row>
    <row r="129" spans="2:15" ht="15">
      <c r="B129" s="33">
        <f t="shared" si="25"/>
        <v>5.166666666666667</v>
      </c>
      <c r="C129" s="4">
        <f t="shared" si="9"/>
        <v>0</v>
      </c>
      <c r="D129" s="4">
        <f>C128+C129+G128</f>
        <v>143.06067469143315</v>
      </c>
      <c r="E129" s="46">
        <f>(D129-K129)/(K129-L129)*(INDEX($C$74:$C$90,I129)-INDEX($C$74:$C$90,J129))+INDEX($C$74:$C$90,I129)</f>
        <v>41888.06028303025</v>
      </c>
      <c r="F129" s="4">
        <f t="shared" si="26"/>
        <v>3.4338070813323105</v>
      </c>
      <c r="G129" s="4">
        <f>D129-2*F129</f>
        <v>136.19306052876854</v>
      </c>
      <c r="I129" s="1">
        <f t="shared" si="27"/>
        <v>6</v>
      </c>
      <c r="J129" s="1">
        <f t="shared" si="13"/>
        <v>7</v>
      </c>
      <c r="K129" s="3">
        <f t="shared" si="28"/>
        <v>119.82515640005495</v>
      </c>
      <c r="L129" s="3">
        <f t="shared" si="29"/>
        <v>148.035</v>
      </c>
      <c r="M129" s="3">
        <f t="shared" si="30"/>
        <v>2.377239733388284</v>
      </c>
      <c r="N129" s="3">
        <f t="shared" si="31"/>
        <v>3.66</v>
      </c>
      <c r="O129" s="3">
        <f>M129+((D129-K129)/(L129-K129))*(N129-M129)</f>
        <v>3.4338070813323105</v>
      </c>
    </row>
    <row r="130" spans="2:15" ht="15">
      <c r="B130" s="33">
        <f t="shared" si="25"/>
        <v>5.333333333333334</v>
      </c>
      <c r="C130" s="4">
        <f t="shared" si="9"/>
        <v>0</v>
      </c>
      <c r="D130" s="4">
        <f>C129+C130+G129</f>
        <v>136.19306052876854</v>
      </c>
      <c r="E130" s="46">
        <f>(D130-K130)/(K130-L130)*(INDEX($C$74:$C$90,I130)-INDEX($C$74:$C$90,J130))+INDEX($C$74:$C$90,I130)</f>
        <v>39921.46144453534</v>
      </c>
      <c r="F130" s="4">
        <f t="shared" si="26"/>
        <v>3.121522380317406</v>
      </c>
      <c r="G130" s="4">
        <f>D130-2*F130</f>
        <v>129.95001576813374</v>
      </c>
      <c r="I130" s="1">
        <f t="shared" si="27"/>
        <v>6</v>
      </c>
      <c r="J130" s="1">
        <f t="shared" si="13"/>
        <v>7</v>
      </c>
      <c r="K130" s="3">
        <f t="shared" si="28"/>
        <v>119.82515640005495</v>
      </c>
      <c r="L130" s="3">
        <f t="shared" si="29"/>
        <v>148.035</v>
      </c>
      <c r="M130" s="3">
        <f t="shared" si="30"/>
        <v>2.377239733388284</v>
      </c>
      <c r="N130" s="3">
        <f t="shared" si="31"/>
        <v>3.66</v>
      </c>
      <c r="O130" s="3">
        <f>M130+((D130-K130)/(L130-K130))*(N130-M130)</f>
        <v>3.121522380317406</v>
      </c>
    </row>
    <row r="131" spans="2:15" ht="15">
      <c r="B131" s="33">
        <f t="shared" si="25"/>
        <v>5.500000000000001</v>
      </c>
      <c r="C131" s="4">
        <f t="shared" si="9"/>
        <v>0</v>
      </c>
      <c r="D131" s="4">
        <f>C130+C131+G130</f>
        <v>129.95001576813374</v>
      </c>
      <c r="E131" s="46">
        <f>(D131-K131)/(K131-L131)*(INDEX($C$74:$C$90,I131)-INDEX($C$74:$C$90,J131))+INDEX($C$74:$C$90,I131)</f>
        <v>38133.71328569403</v>
      </c>
      <c r="F131" s="4">
        <f t="shared" si="26"/>
        <v>2.83763814915363</v>
      </c>
      <c r="G131" s="4">
        <f>D131-2*F131</f>
        <v>124.27473946982647</v>
      </c>
      <c r="I131" s="1">
        <f t="shared" si="27"/>
        <v>6</v>
      </c>
      <c r="J131" s="1">
        <f t="shared" si="13"/>
        <v>7</v>
      </c>
      <c r="K131" s="3">
        <f t="shared" si="28"/>
        <v>119.82515640005495</v>
      </c>
      <c r="L131" s="3">
        <f t="shared" si="29"/>
        <v>148.035</v>
      </c>
      <c r="M131" s="3">
        <f t="shared" si="30"/>
        <v>2.377239733388284</v>
      </c>
      <c r="N131" s="3">
        <f t="shared" si="31"/>
        <v>3.66</v>
      </c>
      <c r="O131" s="3">
        <f>M131+((D131-K131)/(L131-K131))*(N131-M131)</f>
        <v>2.83763814915363</v>
      </c>
    </row>
    <row r="132" spans="2:15" ht="15">
      <c r="B132" s="33">
        <f t="shared" si="25"/>
        <v>5.666666666666668</v>
      </c>
      <c r="C132" s="4">
        <f t="shared" si="9"/>
        <v>0</v>
      </c>
      <c r="D132" s="4">
        <f>C131+C132+G131</f>
        <v>124.27473946982647</v>
      </c>
      <c r="E132" s="46">
        <f>(D132-K132)/(K132-L132)*(INDEX($C$74:$C$90,I132)-INDEX($C$74:$C$90,J132))+INDEX($C$74:$C$90,I132)</f>
        <v>36508.550381658904</v>
      </c>
      <c r="F132" s="4">
        <f t="shared" si="26"/>
        <v>2.5795715309634475</v>
      </c>
      <c r="G132" s="4">
        <f>D132-2*F132</f>
        <v>119.11559640789957</v>
      </c>
      <c r="I132" s="1">
        <f t="shared" si="27"/>
        <v>6</v>
      </c>
      <c r="J132" s="1">
        <f t="shared" si="13"/>
        <v>7</v>
      </c>
      <c r="K132" s="3">
        <f t="shared" si="28"/>
        <v>119.82515640005495</v>
      </c>
      <c r="L132" s="3">
        <f t="shared" si="29"/>
        <v>148.035</v>
      </c>
      <c r="M132" s="3">
        <f t="shared" si="30"/>
        <v>2.377239733388284</v>
      </c>
      <c r="N132" s="3">
        <f t="shared" si="31"/>
        <v>3.66</v>
      </c>
      <c r="O132" s="3">
        <f>M132+((D132-K132)/(L132-K132))*(N132-M132)</f>
        <v>2.5795715309634475</v>
      </c>
    </row>
    <row r="133" spans="2:15" ht="15">
      <c r="B133" s="33">
        <f t="shared" si="25"/>
        <v>5.833333333333335</v>
      </c>
      <c r="C133" s="4">
        <f t="shared" si="9"/>
        <v>0</v>
      </c>
      <c r="D133" s="4">
        <f>C132+C133+G132</f>
        <v>119.11559640789957</v>
      </c>
      <c r="E133" s="46">
        <f>(D133-K133)/(K133-L133)*(INDEX($C$74:$C$90,I133)-INDEX($C$74:$C$90,J133))+INDEX($C$74:$C$90,I133)</f>
        <v>35030.09030210013</v>
      </c>
      <c r="F133" s="4">
        <f t="shared" si="26"/>
        <v>2.3486287342324754</v>
      </c>
      <c r="G133" s="4">
        <f>D133-2*F133</f>
        <v>114.41833893943462</v>
      </c>
      <c r="I133" s="1">
        <f t="shared" si="27"/>
        <v>5</v>
      </c>
      <c r="J133" s="1">
        <f t="shared" si="13"/>
        <v>6</v>
      </c>
      <c r="K133" s="3">
        <f t="shared" si="28"/>
        <v>92.96067207623805</v>
      </c>
      <c r="L133" s="3">
        <f t="shared" si="29"/>
        <v>119.82515640005495</v>
      </c>
      <c r="M133" s="3">
        <f t="shared" si="30"/>
        <v>1.2940054095713822</v>
      </c>
      <c r="N133" s="3">
        <f t="shared" si="31"/>
        <v>2.377239733388284</v>
      </c>
      <c r="O133" s="3">
        <f>M133+((D133-K133)/(L133-K133))*(N133-M133)</f>
        <v>2.3486287342324754</v>
      </c>
    </row>
    <row r="134" spans="2:15" ht="15">
      <c r="B134" s="33">
        <f t="shared" si="25"/>
        <v>6.000000000000002</v>
      </c>
      <c r="C134" s="4">
        <f t="shared" si="9"/>
        <v>0</v>
      </c>
      <c r="D134" s="4">
        <f>C133+C134+G133</f>
        <v>114.41833893943462</v>
      </c>
      <c r="E134" s="46">
        <f>(D134-K134)/(K134-L134)*(INDEX($C$74:$C$90,I134)-INDEX($C$74:$C$90,J134))+INDEX($C$74:$C$90,I134)</f>
        <v>33677.73414686027</v>
      </c>
      <c r="F134" s="4">
        <f t="shared" si="26"/>
        <v>2.159225116567069</v>
      </c>
      <c r="G134" s="4">
        <f>D134-2*F134</f>
        <v>110.09988870630048</v>
      </c>
      <c r="I134" s="1">
        <f t="shared" si="27"/>
        <v>5</v>
      </c>
      <c r="J134" s="1">
        <f t="shared" si="13"/>
        <v>6</v>
      </c>
      <c r="K134" s="3">
        <f t="shared" si="28"/>
        <v>92.96067207623805</v>
      </c>
      <c r="L134" s="3">
        <f t="shared" si="29"/>
        <v>119.82515640005495</v>
      </c>
      <c r="M134" s="3">
        <f t="shared" si="30"/>
        <v>1.2940054095713822</v>
      </c>
      <c r="N134" s="3">
        <f t="shared" si="31"/>
        <v>2.377239733388284</v>
      </c>
      <c r="O134" s="3">
        <f>M134+((D134-K134)/(L134-K134))*(N134-M134)</f>
        <v>2.159225116567069</v>
      </c>
    </row>
    <row r="161" spans="2:5" ht="15">
      <c r="B161" s="41" t="s">
        <v>59</v>
      </c>
      <c r="C161" s="41"/>
      <c r="D161" s="42">
        <f>MAX(F98:F134)</f>
        <v>6.2441891967615355</v>
      </c>
      <c r="E161" s="7" t="str">
        <f>"cfs (at "&amp;TEXT(INDEX(B98:B134,MATCH(D161,$F$98:$F$134,0)),"0.0")&amp;" hours)"</f>
        <v>cfs (at 3.3 hours)</v>
      </c>
    </row>
  </sheetData>
  <sheetProtection/>
  <mergeCells count="1">
    <mergeCell ref="A2:I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Water Research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McKee</dc:creator>
  <cp:keywords/>
  <dc:description/>
  <cp:lastModifiedBy>Rosenberg</cp:lastModifiedBy>
  <dcterms:created xsi:type="dcterms:W3CDTF">2007-10-30T17:54:17Z</dcterms:created>
  <dcterms:modified xsi:type="dcterms:W3CDTF">2012-03-26T04:20:30Z</dcterms:modified>
  <cp:category/>
  <cp:version/>
  <cp:contentType/>
  <cp:contentStatus/>
</cp:coreProperties>
</file>