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45" windowWidth="15480" windowHeight="10545" activeTab="2"/>
  </bookViews>
  <sheets>
    <sheet name="UnitHydrographs" sheetId="1" r:id="rId1"/>
    <sheet name="StdUH" sheetId="2" r:id="rId2"/>
    <sheet name="DesignHydrograph" sheetId="3" r:id="rId3"/>
  </sheets>
  <functionGroups/>
  <definedNames>
    <definedName name="solver_adj" localSheetId="2" hidden="1">DesignHydrograph!$E$6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DesignHydrograph!$E$21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1.1341</definedName>
  </definedNames>
  <calcPr calcId="125725"/>
</workbook>
</file>

<file path=xl/calcChain.xml><?xml version="1.0" encoding="utf-8"?>
<calcChain xmlns="http://schemas.openxmlformats.org/spreadsheetml/2006/main">
  <c r="E8" i="3"/>
  <c r="C18"/>
  <c r="B19"/>
  <c r="B18"/>
  <c r="B9"/>
  <c r="B8"/>
  <c r="B17"/>
  <c r="B16"/>
  <c r="B11"/>
  <c r="B10"/>
  <c r="B12"/>
  <c r="B15"/>
  <c r="B13"/>
  <c r="B14"/>
  <c r="H55" i="1"/>
  <c r="I55"/>
  <c r="A55"/>
  <c r="B55"/>
  <c r="Q55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O16"/>
  <c r="O17" s="1"/>
  <c r="P4"/>
  <c r="P5"/>
  <c r="K24"/>
  <c r="O18" l="1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I23"/>
  <c r="H23"/>
  <c r="I16"/>
  <c r="I17" s="1"/>
  <c r="I13"/>
  <c r="I8"/>
  <c r="I7"/>
  <c r="J4"/>
  <c r="J5"/>
  <c r="J3"/>
  <c r="I18" l="1"/>
  <c r="D24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22"/>
  <c r="B18"/>
  <c r="B17"/>
  <c r="B16"/>
  <c r="B13"/>
  <c r="B8"/>
  <c r="J48" i="3"/>
  <c r="I48"/>
  <c r="A84"/>
  <c r="E44" i="1"/>
  <c r="E46"/>
  <c r="E42"/>
  <c r="E38"/>
  <c r="E34"/>
  <c r="E30"/>
  <c r="E26"/>
  <c r="E47"/>
  <c r="E43"/>
  <c r="E39"/>
  <c r="E35"/>
  <c r="E31"/>
  <c r="E27"/>
  <c r="E40"/>
  <c r="E36"/>
  <c r="E32"/>
  <c r="E28"/>
  <c r="E24"/>
  <c r="E45"/>
  <c r="E41"/>
  <c r="E37"/>
  <c r="E33"/>
  <c r="E29"/>
  <c r="E25"/>
  <c r="B53" i="3" l="1"/>
  <c r="C54" s="1"/>
  <c r="B57"/>
  <c r="C58" s="1"/>
  <c r="B61"/>
  <c r="C62" s="1"/>
  <c r="B65"/>
  <c r="C66" s="1"/>
  <c r="B69"/>
  <c r="C70" s="1"/>
  <c r="B73"/>
  <c r="C74" s="1"/>
  <c r="B52"/>
  <c r="C53" s="1"/>
  <c r="B56"/>
  <c r="C57" s="1"/>
  <c r="B60"/>
  <c r="C61" s="1"/>
  <c r="B64"/>
  <c r="C65" s="1"/>
  <c r="B68"/>
  <c r="C69" s="1"/>
  <c r="B55"/>
  <c r="C56" s="1"/>
  <c r="B59"/>
  <c r="C60" s="1"/>
  <c r="B63"/>
  <c r="C64" s="1"/>
  <c r="B67"/>
  <c r="C68" s="1"/>
  <c r="B71"/>
  <c r="C72" s="1"/>
  <c r="B75"/>
  <c r="C76" s="1"/>
  <c r="B54"/>
  <c r="C55" s="1"/>
  <c r="B58"/>
  <c r="C59" s="1"/>
  <c r="B62"/>
  <c r="C63" s="1"/>
  <c r="B66"/>
  <c r="C67" s="1"/>
  <c r="B70"/>
  <c r="C71" s="1"/>
  <c r="B74"/>
  <c r="C75" s="1"/>
  <c r="B72"/>
  <c r="C73" s="1"/>
  <c r="P3" i="1"/>
  <c r="A51" i="3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34"/>
  <c r="A35" s="1"/>
  <c r="A36" s="1"/>
  <c r="A37" s="1"/>
  <c r="A38" s="1"/>
  <c r="A39" s="1"/>
  <c r="A40" s="1"/>
  <c r="A41" s="1"/>
  <c r="A42" s="1"/>
  <c r="A43" s="1"/>
  <c r="A44" s="1"/>
  <c r="E18"/>
  <c r="E16"/>
  <c r="E12"/>
  <c r="E15"/>
  <c r="E13"/>
  <c r="E14"/>
  <c r="A9"/>
  <c r="A10" s="1"/>
  <c r="A11" s="1"/>
  <c r="A12" s="1"/>
  <c r="A13" s="1"/>
  <c r="A14" s="1"/>
  <c r="A15" s="1"/>
  <c r="A16" s="1"/>
  <c r="A17" s="1"/>
  <c r="A18" s="1"/>
  <c r="A19" s="1"/>
  <c r="B26"/>
  <c r="C26" s="1"/>
  <c r="E19" l="1"/>
  <c r="E17"/>
  <c r="E11"/>
  <c r="E9"/>
  <c r="D26"/>
  <c r="Q23" i="1"/>
  <c r="C8" i="3" l="1"/>
  <c r="C9" s="1"/>
  <c r="E10"/>
  <c r="K23" i="1"/>
  <c r="C10" i="3" l="1"/>
  <c r="C11" s="1"/>
  <c r="C12" s="1"/>
  <c r="C13" s="1"/>
  <c r="C14" s="1"/>
  <c r="C15" s="1"/>
  <c r="C16" s="1"/>
  <c r="C17" s="1"/>
  <c r="C19" s="1"/>
  <c r="E21"/>
  <c r="D23" i="1"/>
  <c r="O11"/>
  <c r="I11"/>
  <c r="B11"/>
  <c r="B7"/>
  <c r="C24" i="3" l="1"/>
  <c r="B24"/>
  <c r="O7" i="1"/>
  <c r="O8" s="1"/>
  <c r="O13" s="1"/>
  <c r="B28" i="3" l="1"/>
  <c r="B27"/>
  <c r="C27"/>
  <c r="C28"/>
  <c r="C29" s="1"/>
  <c r="C48"/>
  <c r="D24"/>
  <c r="H22" i="1"/>
  <c r="L27"/>
  <c r="L31"/>
  <c r="L35"/>
  <c r="L39"/>
  <c r="L43"/>
  <c r="L47"/>
  <c r="L51"/>
  <c r="L28"/>
  <c r="L32"/>
  <c r="L36"/>
  <c r="L40"/>
  <c r="L44"/>
  <c r="L48"/>
  <c r="L52"/>
  <c r="L25"/>
  <c r="L29"/>
  <c r="L33"/>
  <c r="L37"/>
  <c r="L41"/>
  <c r="L45"/>
  <c r="L49"/>
  <c r="L26"/>
  <c r="L30"/>
  <c r="L34"/>
  <c r="L38"/>
  <c r="L42"/>
  <c r="L46"/>
  <c r="L50"/>
  <c r="L24"/>
  <c r="E52" i="3" l="1"/>
  <c r="F53" s="1"/>
  <c r="L56" s="1"/>
  <c r="E78"/>
  <c r="F79" s="1"/>
  <c r="L82" s="1"/>
  <c r="E74"/>
  <c r="F75" s="1"/>
  <c r="L78" s="1"/>
  <c r="E70"/>
  <c r="F71" s="1"/>
  <c r="L74" s="1"/>
  <c r="E66"/>
  <c r="F67" s="1"/>
  <c r="L70" s="1"/>
  <c r="E62"/>
  <c r="F63" s="1"/>
  <c r="L66" s="1"/>
  <c r="E58"/>
  <c r="F59" s="1"/>
  <c r="L62" s="1"/>
  <c r="E54"/>
  <c r="F55" s="1"/>
  <c r="L58" s="1"/>
  <c r="E77"/>
  <c r="F78" s="1"/>
  <c r="L81" s="1"/>
  <c r="E73"/>
  <c r="F74" s="1"/>
  <c r="L77" s="1"/>
  <c r="E69"/>
  <c r="F70" s="1"/>
  <c r="L73" s="1"/>
  <c r="E65"/>
  <c r="F66" s="1"/>
  <c r="L69" s="1"/>
  <c r="E61"/>
  <c r="F62" s="1"/>
  <c r="L65" s="1"/>
  <c r="E57"/>
  <c r="F58" s="1"/>
  <c r="L61" s="1"/>
  <c r="E53"/>
  <c r="F54" s="1"/>
  <c r="L57" s="1"/>
  <c r="E80"/>
  <c r="F81" s="1"/>
  <c r="L84" s="1"/>
  <c r="E76"/>
  <c r="F77" s="1"/>
  <c r="L80" s="1"/>
  <c r="E72"/>
  <c r="F73" s="1"/>
  <c r="L76" s="1"/>
  <c r="E68"/>
  <c r="F69" s="1"/>
  <c r="L72" s="1"/>
  <c r="E64"/>
  <c r="F65" s="1"/>
  <c r="L68" s="1"/>
  <c r="E60"/>
  <c r="F61" s="1"/>
  <c r="L64" s="1"/>
  <c r="E56"/>
  <c r="F57" s="1"/>
  <c r="L60" s="1"/>
  <c r="E79"/>
  <c r="F80" s="1"/>
  <c r="L83" s="1"/>
  <c r="E75"/>
  <c r="F76" s="1"/>
  <c r="L79" s="1"/>
  <c r="E71"/>
  <c r="F72" s="1"/>
  <c r="L75" s="1"/>
  <c r="E67"/>
  <c r="F68" s="1"/>
  <c r="L71" s="1"/>
  <c r="E63"/>
  <c r="F64" s="1"/>
  <c r="L67" s="1"/>
  <c r="E59"/>
  <c r="F60" s="1"/>
  <c r="L63" s="1"/>
  <c r="E55"/>
  <c r="F56" s="1"/>
  <c r="L59" s="1"/>
  <c r="B29"/>
  <c r="F48"/>
  <c r="N24" i="1"/>
  <c r="N22"/>
  <c r="N23"/>
  <c r="D27" i="3"/>
  <c r="D28"/>
  <c r="D29" s="1"/>
  <c r="O22" i="1"/>
  <c r="I22"/>
  <c r="R55"/>
  <c r="R26"/>
  <c r="R30"/>
  <c r="R34"/>
  <c r="R38"/>
  <c r="R42"/>
  <c r="R46"/>
  <c r="R50"/>
  <c r="R54"/>
  <c r="L23"/>
  <c r="R27"/>
  <c r="R31"/>
  <c r="R35"/>
  <c r="R39"/>
  <c r="R43"/>
  <c r="R47"/>
  <c r="R51"/>
  <c r="R22"/>
  <c r="L22"/>
  <c r="R24"/>
  <c r="R28"/>
  <c r="R32"/>
  <c r="R36"/>
  <c r="R40"/>
  <c r="R44"/>
  <c r="R48"/>
  <c r="R52"/>
  <c r="E23"/>
  <c r="R25"/>
  <c r="R29"/>
  <c r="R33"/>
  <c r="R37"/>
  <c r="R41"/>
  <c r="R45"/>
  <c r="R49"/>
  <c r="R53"/>
  <c r="E22"/>
  <c r="B50" i="3" l="1"/>
  <c r="C51" s="1"/>
  <c r="H81"/>
  <c r="H77"/>
  <c r="H73"/>
  <c r="H69"/>
  <c r="H65"/>
  <c r="H61"/>
  <c r="H57"/>
  <c r="H53"/>
  <c r="B51"/>
  <c r="C52" s="1"/>
  <c r="H80"/>
  <c r="H76"/>
  <c r="H72"/>
  <c r="H68"/>
  <c r="H64"/>
  <c r="H60"/>
  <c r="H56"/>
  <c r="H52"/>
  <c r="H79"/>
  <c r="H75"/>
  <c r="H71"/>
  <c r="H67"/>
  <c r="H63"/>
  <c r="H59"/>
  <c r="H55"/>
  <c r="E51"/>
  <c r="F52" s="1"/>
  <c r="H82"/>
  <c r="H78"/>
  <c r="H74"/>
  <c r="H70"/>
  <c r="H66"/>
  <c r="H62"/>
  <c r="H58"/>
  <c r="H54"/>
  <c r="H83"/>
  <c r="O23" i="1"/>
  <c r="O24"/>
  <c r="E50" i="3"/>
  <c r="F51" s="1"/>
  <c r="H50"/>
  <c r="R23" i="1"/>
  <c r="H51" i="3" l="1"/>
  <c r="J84"/>
  <c r="M84" s="1"/>
  <c r="I83"/>
  <c r="I58"/>
  <c r="J59"/>
  <c r="I66"/>
  <c r="J67"/>
  <c r="I74"/>
  <c r="J75"/>
  <c r="I82"/>
  <c r="J83"/>
  <c r="J56"/>
  <c r="I55"/>
  <c r="J64"/>
  <c r="I63"/>
  <c r="J72"/>
  <c r="I71"/>
  <c r="J80"/>
  <c r="I79"/>
  <c r="I56"/>
  <c r="M56" s="1"/>
  <c r="J57"/>
  <c r="I64"/>
  <c r="M64" s="1"/>
  <c r="J65"/>
  <c r="I72"/>
  <c r="M72" s="1"/>
  <c r="J73"/>
  <c r="I80"/>
  <c r="M80" s="1"/>
  <c r="J81"/>
  <c r="J54"/>
  <c r="I53"/>
  <c r="J62"/>
  <c r="I61"/>
  <c r="J70"/>
  <c r="I69"/>
  <c r="J78"/>
  <c r="I77"/>
  <c r="L54"/>
  <c r="J51"/>
  <c r="I50"/>
  <c r="M50" s="1"/>
  <c r="I54"/>
  <c r="M54" s="1"/>
  <c r="J55"/>
  <c r="I62"/>
  <c r="M62" s="1"/>
  <c r="J63"/>
  <c r="I70"/>
  <c r="M70" s="1"/>
  <c r="J71"/>
  <c r="I78"/>
  <c r="M78" s="1"/>
  <c r="J79"/>
  <c r="J60"/>
  <c r="I59"/>
  <c r="M59" s="1"/>
  <c r="J68"/>
  <c r="I67"/>
  <c r="M67" s="1"/>
  <c r="J76"/>
  <c r="I75"/>
  <c r="M75" s="1"/>
  <c r="I52"/>
  <c r="J53"/>
  <c r="I60"/>
  <c r="M60" s="1"/>
  <c r="J61"/>
  <c r="I68"/>
  <c r="M68" s="1"/>
  <c r="J69"/>
  <c r="I76"/>
  <c r="M76" s="1"/>
  <c r="J77"/>
  <c r="J58"/>
  <c r="I57"/>
  <c r="M57" s="1"/>
  <c r="J66"/>
  <c r="I65"/>
  <c r="M65" s="1"/>
  <c r="J74"/>
  <c r="I73"/>
  <c r="M73" s="1"/>
  <c r="J82"/>
  <c r="I81"/>
  <c r="M81" s="1"/>
  <c r="L55"/>
  <c r="J52" l="1"/>
  <c r="I51"/>
  <c r="M51" s="1"/>
  <c r="M52"/>
  <c r="M77"/>
  <c r="M69"/>
  <c r="M61"/>
  <c r="M53"/>
  <c r="M79"/>
  <c r="M71"/>
  <c r="M63"/>
  <c r="M55"/>
  <c r="M83"/>
  <c r="M82"/>
  <c r="M74"/>
  <c r="M66"/>
  <c r="M58"/>
</calcChain>
</file>

<file path=xl/sharedStrings.xml><?xml version="1.0" encoding="utf-8"?>
<sst xmlns="http://schemas.openxmlformats.org/spreadsheetml/2006/main" count="126" uniqueCount="62">
  <si>
    <t>ft</t>
  </si>
  <si>
    <t>Watershed A</t>
  </si>
  <si>
    <t>CN</t>
  </si>
  <si>
    <t>Watershed B</t>
  </si>
  <si>
    <t>Forest</t>
  </si>
  <si>
    <t>Meadow</t>
  </si>
  <si>
    <t>Residential</t>
  </si>
  <si>
    <t>Overall</t>
  </si>
  <si>
    <t>Watershed C</t>
  </si>
  <si>
    <t>Soils group B</t>
  </si>
  <si>
    <t>C&amp;B</t>
  </si>
  <si>
    <t>Open</t>
  </si>
  <si>
    <t>S</t>
  </si>
  <si>
    <t>Slp</t>
  </si>
  <si>
    <t>%</t>
  </si>
  <si>
    <t>Length</t>
  </si>
  <si>
    <t>mi</t>
  </si>
  <si>
    <t>tp</t>
  </si>
  <si>
    <t>hr</t>
  </si>
  <si>
    <t>Use D=</t>
  </si>
  <si>
    <t>TR</t>
  </si>
  <si>
    <t>Time Ratios</t>
  </si>
  <si>
    <t>Discharge Ratios</t>
  </si>
  <si>
    <r>
      <t>(t/t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</si>
  <si>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(q/q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</si>
  <si>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SCS Dimensionless Unit Hydrograph</t>
  </si>
  <si>
    <t>t</t>
  </si>
  <si>
    <t>Q</t>
  </si>
  <si>
    <t>Qp</t>
  </si>
  <si>
    <t>Area</t>
  </si>
  <si>
    <t>mi^2</t>
  </si>
  <si>
    <t>B</t>
  </si>
  <si>
    <t>Design Rainfall</t>
  </si>
  <si>
    <t>Dur</t>
  </si>
  <si>
    <t>in</t>
  </si>
  <si>
    <t>P</t>
  </si>
  <si>
    <t>Ia</t>
  </si>
  <si>
    <t>Cum P</t>
  </si>
  <si>
    <t>F</t>
  </si>
  <si>
    <t>P (in per Dt)</t>
  </si>
  <si>
    <t>Watershed</t>
  </si>
  <si>
    <t>A</t>
  </si>
  <si>
    <t>C</t>
  </si>
  <si>
    <t>Excess Rainfall Hyetographs after having subtracted infiltration and Ia</t>
  </si>
  <si>
    <t>Hydrographs</t>
  </si>
  <si>
    <t>UH B</t>
  </si>
  <si>
    <t>H B</t>
  </si>
  <si>
    <t>UH C</t>
  </si>
  <si>
    <t>H C</t>
  </si>
  <si>
    <t>Threshold</t>
  </si>
  <si>
    <t>UH A</t>
  </si>
  <si>
    <t>Interpolated A</t>
  </si>
  <si>
    <t>Interpolated B</t>
  </si>
  <si>
    <t>Interpolated C</t>
  </si>
  <si>
    <t>H A</t>
  </si>
  <si>
    <t>A+B lagged 0.75 hr (3 time steps)</t>
  </si>
  <si>
    <t>Comb A +B + C</t>
  </si>
  <si>
    <t>Soils group C</t>
  </si>
  <si>
    <t>cfs</t>
  </si>
  <si>
    <t>Soils Group D</t>
  </si>
  <si>
    <t>Cum Precip (in)</t>
  </si>
  <si>
    <t>Sum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</si>
</sst>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166" fontId="0" fillId="0" borderId="0" xfId="0" applyNumberFormat="1"/>
    <xf numFmtId="0" fontId="0" fillId="3" borderId="0" xfId="0" applyFill="1"/>
    <xf numFmtId="0" fontId="0" fillId="2" borderId="4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/>
    <xf numFmtId="0" fontId="0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Unit Hydrographs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A</c:v>
          </c:tx>
          <c:marker>
            <c:symbol val="none"/>
          </c:marker>
          <c:xVal>
            <c:numRef>
              <c:f>UnitHydrographs!$A$22:$A$54</c:f>
              <c:numCache>
                <c:formatCode>General</c:formatCode>
                <c:ptCount val="33"/>
                <c:pt idx="0">
                  <c:v>0</c:v>
                </c:pt>
                <c:pt idx="1">
                  <c:v>0.12130756995839374</c:v>
                </c:pt>
                <c:pt idx="2">
                  <c:v>0.24261513991678749</c:v>
                </c:pt>
                <c:pt idx="3">
                  <c:v>0.36392270987518122</c:v>
                </c:pt>
                <c:pt idx="4">
                  <c:v>0.48523027983357497</c:v>
                </c:pt>
                <c:pt idx="5">
                  <c:v>0.60653784979196868</c:v>
                </c:pt>
                <c:pt idx="6">
                  <c:v>0.72784541975036243</c:v>
                </c:pt>
                <c:pt idx="7">
                  <c:v>0.84915298970875608</c:v>
                </c:pt>
                <c:pt idx="8">
                  <c:v>0.97046055966714995</c:v>
                </c:pt>
                <c:pt idx="9">
                  <c:v>1.0917681296255437</c:v>
                </c:pt>
                <c:pt idx="10">
                  <c:v>1.2130756995839374</c:v>
                </c:pt>
                <c:pt idx="11">
                  <c:v>1.3343832695423312</c:v>
                </c:pt>
                <c:pt idx="12">
                  <c:v>1.4556908395007249</c:v>
                </c:pt>
                <c:pt idx="13">
                  <c:v>1.5769984094591185</c:v>
                </c:pt>
                <c:pt idx="14">
                  <c:v>1.6983059794175122</c:v>
                </c:pt>
                <c:pt idx="15">
                  <c:v>1.819613549375906</c:v>
                </c:pt>
                <c:pt idx="16">
                  <c:v>1.9409211193342999</c:v>
                </c:pt>
                <c:pt idx="17">
                  <c:v>2.0622286892926933</c:v>
                </c:pt>
                <c:pt idx="18">
                  <c:v>2.1835362592510874</c:v>
                </c:pt>
                <c:pt idx="19">
                  <c:v>2.3048438292094811</c:v>
                </c:pt>
                <c:pt idx="20">
                  <c:v>2.4261513991678747</c:v>
                </c:pt>
                <c:pt idx="21">
                  <c:v>2.6687665390846624</c:v>
                </c:pt>
                <c:pt idx="22">
                  <c:v>2.9113816790014497</c:v>
                </c:pt>
                <c:pt idx="23">
                  <c:v>3.153996818918237</c:v>
                </c:pt>
                <c:pt idx="24">
                  <c:v>3.3966119588350243</c:v>
                </c:pt>
                <c:pt idx="25">
                  <c:v>3.6392270987518121</c:v>
                </c:pt>
                <c:pt idx="26">
                  <c:v>3.8818422386685998</c:v>
                </c:pt>
                <c:pt idx="27">
                  <c:v>4.1244573785853866</c:v>
                </c:pt>
                <c:pt idx="28">
                  <c:v>4.3670725185021748</c:v>
                </c:pt>
                <c:pt idx="29">
                  <c:v>4.6096876584189621</c:v>
                </c:pt>
                <c:pt idx="30">
                  <c:v>4.8523027983357494</c:v>
                </c:pt>
                <c:pt idx="31">
                  <c:v>5.4588406481277181</c:v>
                </c:pt>
                <c:pt idx="32">
                  <c:v>6.0653784979196868</c:v>
                </c:pt>
              </c:numCache>
            </c:numRef>
          </c:xVal>
          <c:yVal>
            <c:numRef>
              <c:f>UnitHydrographs!$B$22:$B$54</c:f>
              <c:numCache>
                <c:formatCode>General</c:formatCode>
                <c:ptCount val="33"/>
                <c:pt idx="0">
                  <c:v>0</c:v>
                </c:pt>
                <c:pt idx="1">
                  <c:v>35.908723598156548</c:v>
                </c:pt>
                <c:pt idx="2">
                  <c:v>119.6957453271885</c:v>
                </c:pt>
                <c:pt idx="3">
                  <c:v>227.42191612165814</c:v>
                </c:pt>
                <c:pt idx="4">
                  <c:v>371.05681051428434</c:v>
                </c:pt>
                <c:pt idx="5">
                  <c:v>562.57000303778591</c:v>
                </c:pt>
                <c:pt idx="6">
                  <c:v>789.99191915944414</c:v>
                </c:pt>
                <c:pt idx="7">
                  <c:v>981.50511168294565</c:v>
                </c:pt>
                <c:pt idx="8">
                  <c:v>1113.1704315428531</c:v>
                </c:pt>
                <c:pt idx="9">
                  <c:v>1184.9878787391663</c:v>
                </c:pt>
                <c:pt idx="10">
                  <c:v>1196.957453271885</c:v>
                </c:pt>
                <c:pt idx="11">
                  <c:v>1184.9878787391663</c:v>
                </c:pt>
                <c:pt idx="12">
                  <c:v>1113.1704315428531</c:v>
                </c:pt>
                <c:pt idx="13">
                  <c:v>1029.3834098138211</c:v>
                </c:pt>
                <c:pt idx="14">
                  <c:v>933.6268135520703</c:v>
                </c:pt>
                <c:pt idx="15">
                  <c:v>813.93106822488187</c:v>
                </c:pt>
                <c:pt idx="16">
                  <c:v>670.2961738322557</c:v>
                </c:pt>
                <c:pt idx="17">
                  <c:v>550.60042850506716</c:v>
                </c:pt>
                <c:pt idx="18">
                  <c:v>466.81340677603515</c:v>
                </c:pt>
                <c:pt idx="19">
                  <c:v>394.99595957972207</c:v>
                </c:pt>
                <c:pt idx="20">
                  <c:v>335.14808691612785</c:v>
                </c:pt>
                <c:pt idx="21">
                  <c:v>247.7701928272802</c:v>
                </c:pt>
                <c:pt idx="22">
                  <c:v>175.95274563096709</c:v>
                </c:pt>
                <c:pt idx="23">
                  <c:v>128.07444750009171</c:v>
                </c:pt>
                <c:pt idx="24">
                  <c:v>92.165723901935138</c:v>
                </c:pt>
                <c:pt idx="25">
                  <c:v>65.832659929953678</c:v>
                </c:pt>
                <c:pt idx="26">
                  <c:v>47.8782981308754</c:v>
                </c:pt>
                <c:pt idx="27">
                  <c:v>34.71176614488467</c:v>
                </c:pt>
                <c:pt idx="28">
                  <c:v>25.136106518709585</c:v>
                </c:pt>
                <c:pt idx="29">
                  <c:v>17.954361799078274</c:v>
                </c:pt>
                <c:pt idx="30">
                  <c:v>13.166531985990735</c:v>
                </c:pt>
                <c:pt idx="31">
                  <c:v>5.984787266359425</c:v>
                </c:pt>
                <c:pt idx="32">
                  <c:v>0</c:v>
                </c:pt>
              </c:numCache>
            </c:numRef>
          </c:yVal>
        </c:ser>
        <c:ser>
          <c:idx val="7"/>
          <c:order val="1"/>
          <c:tx>
            <c:v>B</c:v>
          </c:tx>
          <c:marker>
            <c:symbol val="none"/>
          </c:marker>
          <c:xVal>
            <c:numRef>
              <c:f>UnitHydrographs!$H$22:$H$54</c:f>
              <c:numCache>
                <c:formatCode>General</c:formatCode>
                <c:ptCount val="33"/>
                <c:pt idx="0">
                  <c:v>0</c:v>
                </c:pt>
                <c:pt idx="1">
                  <c:v>0.14768060724201479</c:v>
                </c:pt>
                <c:pt idx="2">
                  <c:v>0.29536121448402958</c:v>
                </c:pt>
                <c:pt idx="3">
                  <c:v>0.44304182172604439</c:v>
                </c:pt>
                <c:pt idx="4">
                  <c:v>0.59072242896805915</c:v>
                </c:pt>
                <c:pt idx="5">
                  <c:v>0.73840303621007397</c:v>
                </c:pt>
                <c:pt idx="6">
                  <c:v>0.88608364345208879</c:v>
                </c:pt>
                <c:pt idx="7">
                  <c:v>1.0337642506941036</c:v>
                </c:pt>
                <c:pt idx="8">
                  <c:v>1.1814448579361183</c:v>
                </c:pt>
                <c:pt idx="9">
                  <c:v>1.3291254651781332</c:v>
                </c:pt>
                <c:pt idx="10">
                  <c:v>1.4768060724201479</c:v>
                </c:pt>
                <c:pt idx="11">
                  <c:v>1.6244866796621629</c:v>
                </c:pt>
                <c:pt idx="12">
                  <c:v>1.7721672869041776</c:v>
                </c:pt>
                <c:pt idx="13">
                  <c:v>1.9198478941461923</c:v>
                </c:pt>
                <c:pt idx="14">
                  <c:v>2.0675285013882072</c:v>
                </c:pt>
                <c:pt idx="15">
                  <c:v>2.2152091086302219</c:v>
                </c:pt>
                <c:pt idx="16">
                  <c:v>2.3628897158722366</c:v>
                </c:pt>
                <c:pt idx="17">
                  <c:v>2.5105703231142513</c:v>
                </c:pt>
                <c:pt idx="18">
                  <c:v>2.6582509303562665</c:v>
                </c:pt>
                <c:pt idx="19">
                  <c:v>2.8059315375982812</c:v>
                </c:pt>
                <c:pt idx="20">
                  <c:v>2.9536121448402959</c:v>
                </c:pt>
                <c:pt idx="21">
                  <c:v>3.2489733593243257</c:v>
                </c:pt>
                <c:pt idx="22">
                  <c:v>3.5443345738083551</c:v>
                </c:pt>
                <c:pt idx="23">
                  <c:v>3.8396957882923846</c:v>
                </c:pt>
                <c:pt idx="24">
                  <c:v>4.1350570027764144</c:v>
                </c:pt>
                <c:pt idx="25">
                  <c:v>4.4304182172604438</c:v>
                </c:pt>
                <c:pt idx="26">
                  <c:v>4.7257794317444732</c:v>
                </c:pt>
                <c:pt idx="27">
                  <c:v>5.0211406462285026</c:v>
                </c:pt>
                <c:pt idx="28">
                  <c:v>5.3165018607125329</c:v>
                </c:pt>
                <c:pt idx="29">
                  <c:v>5.6118630751965624</c:v>
                </c:pt>
                <c:pt idx="30">
                  <c:v>5.9072242896805918</c:v>
                </c:pt>
                <c:pt idx="31">
                  <c:v>6.6456273258906657</c:v>
                </c:pt>
                <c:pt idx="32">
                  <c:v>7.3840303621007397</c:v>
                </c:pt>
              </c:numCache>
            </c:numRef>
          </c:xVal>
          <c:yVal>
            <c:numRef>
              <c:f>UnitHydrographs!$I$22:$I$54</c:f>
              <c:numCache>
                <c:formatCode>General</c:formatCode>
                <c:ptCount val="33"/>
                <c:pt idx="0">
                  <c:v>0</c:v>
                </c:pt>
                <c:pt idx="1">
                  <c:v>39.328115644067026</c:v>
                </c:pt>
                <c:pt idx="2">
                  <c:v>131.09371881355676</c:v>
                </c:pt>
                <c:pt idx="3">
                  <c:v>249.07806574575784</c:v>
                </c:pt>
                <c:pt idx="4">
                  <c:v>406.39052832202594</c:v>
                </c:pt>
                <c:pt idx="5">
                  <c:v>616.14047842371667</c:v>
                </c:pt>
                <c:pt idx="6">
                  <c:v>865.21854416947463</c:v>
                </c:pt>
                <c:pt idx="7">
                  <c:v>1074.9684942711654</c:v>
                </c:pt>
                <c:pt idx="8">
                  <c:v>1219.1715849660779</c:v>
                </c:pt>
                <c:pt idx="9">
                  <c:v>1297.8278162542119</c:v>
                </c:pt>
                <c:pt idx="10">
                  <c:v>1310.9371881355676</c:v>
                </c:pt>
                <c:pt idx="11">
                  <c:v>1297.8278162542119</c:v>
                </c:pt>
                <c:pt idx="12">
                  <c:v>1219.1715849660779</c:v>
                </c:pt>
                <c:pt idx="13">
                  <c:v>1127.4059817965881</c:v>
                </c:pt>
                <c:pt idx="14">
                  <c:v>1022.5310067457427</c:v>
                </c:pt>
                <c:pt idx="15">
                  <c:v>891.437287932186</c:v>
                </c:pt>
                <c:pt idx="16">
                  <c:v>734.12482535591789</c:v>
                </c:pt>
                <c:pt idx="17">
                  <c:v>603.03110654236116</c:v>
                </c:pt>
                <c:pt idx="18">
                  <c:v>511.26550337287136</c:v>
                </c:pt>
                <c:pt idx="19">
                  <c:v>432.60927208473731</c:v>
                </c:pt>
                <c:pt idx="20">
                  <c:v>367.06241267795895</c:v>
                </c:pt>
                <c:pt idx="21">
                  <c:v>271.36399794406248</c:v>
                </c:pt>
                <c:pt idx="22">
                  <c:v>192.70776665592842</c:v>
                </c:pt>
                <c:pt idx="23">
                  <c:v>140.27027913050571</c:v>
                </c:pt>
                <c:pt idx="24">
                  <c:v>100.9421634864387</c:v>
                </c:pt>
                <c:pt idx="25">
                  <c:v>72.101545347456224</c:v>
                </c:pt>
                <c:pt idx="26">
                  <c:v>52.437487525422704</c:v>
                </c:pt>
                <c:pt idx="27">
                  <c:v>38.017178455931464</c:v>
                </c:pt>
                <c:pt idx="28">
                  <c:v>27.52968095084692</c:v>
                </c:pt>
                <c:pt idx="29">
                  <c:v>19.664057822033513</c:v>
                </c:pt>
                <c:pt idx="30">
                  <c:v>14.420309069491243</c:v>
                </c:pt>
                <c:pt idx="31">
                  <c:v>6.5546859406778379</c:v>
                </c:pt>
                <c:pt idx="32">
                  <c:v>0</c:v>
                </c:pt>
              </c:numCache>
            </c:numRef>
          </c:yVal>
        </c:ser>
        <c:ser>
          <c:idx val="0"/>
          <c:order val="2"/>
          <c:tx>
            <c:v>C</c:v>
          </c:tx>
          <c:marker>
            <c:symbol val="none"/>
          </c:marker>
          <c:xVal>
            <c:numRef>
              <c:f>UnitHydrographs!$N$22:$N$54</c:f>
              <c:numCache>
                <c:formatCode>General</c:formatCode>
                <c:ptCount val="33"/>
                <c:pt idx="0">
                  <c:v>0</c:v>
                </c:pt>
                <c:pt idx="1">
                  <c:v>0.16064104116591602</c:v>
                </c:pt>
                <c:pt idx="2">
                  <c:v>0.32128208233183203</c:v>
                </c:pt>
                <c:pt idx="3">
                  <c:v>0.48192312349774796</c:v>
                </c:pt>
                <c:pt idx="4">
                  <c:v>0.64256416466366406</c:v>
                </c:pt>
                <c:pt idx="5">
                  <c:v>0.80320520582957999</c:v>
                </c:pt>
                <c:pt idx="6">
                  <c:v>0.96384624699549593</c:v>
                </c:pt>
                <c:pt idx="7">
                  <c:v>1.1244872881614119</c:v>
                </c:pt>
                <c:pt idx="8">
                  <c:v>1.2851283293273281</c:v>
                </c:pt>
                <c:pt idx="9">
                  <c:v>1.4457693704932439</c:v>
                </c:pt>
                <c:pt idx="10">
                  <c:v>1.60641041165916</c:v>
                </c:pt>
                <c:pt idx="11">
                  <c:v>1.767051452825076</c:v>
                </c:pt>
                <c:pt idx="12">
                  <c:v>1.9276924939909919</c:v>
                </c:pt>
                <c:pt idx="13">
                  <c:v>2.0883335351569081</c:v>
                </c:pt>
                <c:pt idx="14">
                  <c:v>2.2489745763228237</c:v>
                </c:pt>
                <c:pt idx="15">
                  <c:v>2.4096156174887398</c:v>
                </c:pt>
                <c:pt idx="16">
                  <c:v>2.5702566586546562</c:v>
                </c:pt>
                <c:pt idx="17">
                  <c:v>2.7308976998205718</c:v>
                </c:pt>
                <c:pt idx="18">
                  <c:v>2.8915387409864879</c:v>
                </c:pt>
                <c:pt idx="19">
                  <c:v>3.0521797821524039</c:v>
                </c:pt>
                <c:pt idx="20">
                  <c:v>3.21282082331832</c:v>
                </c:pt>
                <c:pt idx="21">
                  <c:v>3.5341029056501521</c:v>
                </c:pt>
                <c:pt idx="22">
                  <c:v>3.8553849879819837</c:v>
                </c:pt>
                <c:pt idx="23">
                  <c:v>4.1766670703138162</c:v>
                </c:pt>
                <c:pt idx="24">
                  <c:v>4.4979491526456474</c:v>
                </c:pt>
                <c:pt idx="25">
                  <c:v>4.8192312349774795</c:v>
                </c:pt>
                <c:pt idx="26">
                  <c:v>5.1405133173093125</c:v>
                </c:pt>
                <c:pt idx="27">
                  <c:v>5.4617953996411437</c:v>
                </c:pt>
                <c:pt idx="28">
                  <c:v>5.7830774819729758</c:v>
                </c:pt>
                <c:pt idx="29">
                  <c:v>6.1043595643048079</c:v>
                </c:pt>
                <c:pt idx="30">
                  <c:v>6.4256416466366399</c:v>
                </c:pt>
                <c:pt idx="31">
                  <c:v>7.2288468524662202</c:v>
                </c:pt>
                <c:pt idx="32">
                  <c:v>8.0320520582958004</c:v>
                </c:pt>
              </c:numCache>
            </c:numRef>
          </c:xVal>
          <c:yVal>
            <c:numRef>
              <c:f>UnitHydrographs!$O$22:$O$54</c:f>
              <c:numCache>
                <c:formatCode>General</c:formatCode>
                <c:ptCount val="33"/>
                <c:pt idx="0">
                  <c:v>0</c:v>
                </c:pt>
                <c:pt idx="1">
                  <c:v>31.635751132558475</c:v>
                </c:pt>
                <c:pt idx="2">
                  <c:v>105.45250377519493</c:v>
                </c:pt>
                <c:pt idx="3">
                  <c:v>200.35975717287036</c:v>
                </c:pt>
                <c:pt idx="4">
                  <c:v>326.90276170310426</c:v>
                </c:pt>
                <c:pt idx="5">
                  <c:v>495.62676774341611</c:v>
                </c:pt>
                <c:pt idx="6">
                  <c:v>695.9865249162865</c:v>
                </c:pt>
                <c:pt idx="7">
                  <c:v>864.71053095659829</c:v>
                </c:pt>
                <c:pt idx="8">
                  <c:v>980.70828510931278</c:v>
                </c:pt>
                <c:pt idx="9">
                  <c:v>1043.9797873744296</c:v>
                </c:pt>
                <c:pt idx="10">
                  <c:v>1054.5250377519492</c:v>
                </c:pt>
                <c:pt idx="11">
                  <c:v>1043.9797873744296</c:v>
                </c:pt>
                <c:pt idx="12">
                  <c:v>980.70828510931278</c:v>
                </c:pt>
                <c:pt idx="13">
                  <c:v>906.89153246667627</c:v>
                </c:pt>
                <c:pt idx="14">
                  <c:v>822.52952944652043</c:v>
                </c:pt>
                <c:pt idx="15">
                  <c:v>717.07702567132549</c:v>
                </c:pt>
                <c:pt idx="16">
                  <c:v>590.53402114109156</c:v>
                </c:pt>
                <c:pt idx="17">
                  <c:v>485.08151736589667</c:v>
                </c:pt>
                <c:pt idx="18">
                  <c:v>411.26476472326021</c:v>
                </c:pt>
                <c:pt idx="19">
                  <c:v>347.99326245814325</c:v>
                </c:pt>
                <c:pt idx="20">
                  <c:v>295.26701057054578</c:v>
                </c:pt>
                <c:pt idx="21">
                  <c:v>218.28668281465346</c:v>
                </c:pt>
                <c:pt idx="22">
                  <c:v>155.01518054953652</c:v>
                </c:pt>
                <c:pt idx="23">
                  <c:v>112.83417903945856</c:v>
                </c:pt>
                <c:pt idx="24">
                  <c:v>81.198427906900079</c:v>
                </c:pt>
                <c:pt idx="25">
                  <c:v>57.998877076357203</c:v>
                </c:pt>
                <c:pt idx="26">
                  <c:v>42.181001510077969</c:v>
                </c:pt>
                <c:pt idx="27">
                  <c:v>30.581226094806528</c:v>
                </c:pt>
                <c:pt idx="28">
                  <c:v>22.145025792790936</c:v>
                </c:pt>
                <c:pt idx="29">
                  <c:v>15.817875566279238</c:v>
                </c:pt>
                <c:pt idx="30">
                  <c:v>11.59977541527144</c:v>
                </c:pt>
                <c:pt idx="31">
                  <c:v>5.2726251887597462</c:v>
                </c:pt>
                <c:pt idx="32">
                  <c:v>0</c:v>
                </c:pt>
              </c:numCache>
            </c:numRef>
          </c:yVal>
        </c:ser>
        <c:axId val="142656640"/>
        <c:axId val="142658944"/>
      </c:scatterChart>
      <c:valAx>
        <c:axId val="14265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(hours)</a:t>
                </a:r>
              </a:p>
            </c:rich>
          </c:tx>
          <c:layout/>
        </c:title>
        <c:numFmt formatCode="General" sourceLinked="1"/>
        <c:tickLblPos val="nextTo"/>
        <c:crossAx val="142658944"/>
        <c:crosses val="autoZero"/>
        <c:crossBetween val="midCat"/>
      </c:valAx>
      <c:valAx>
        <c:axId val="14265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 discharge (cfs)</a:t>
                </a:r>
              </a:p>
            </c:rich>
          </c:tx>
          <c:layout/>
        </c:title>
        <c:numFmt formatCode="General" sourceLinked="1"/>
        <c:tickLblPos val="nextTo"/>
        <c:crossAx val="142656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908333333333333"/>
          <c:y val="0.27019976669582968"/>
          <c:w val="0.10202777777777777"/>
          <c:h val="0.25115157480314959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Unit Hydrographs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v>A</c:v>
          </c:tx>
          <c:marker>
            <c:symbol val="none"/>
          </c:marker>
          <c:xVal>
            <c:numRef>
              <c:f>UnitHydrographs!$D$22:$D$47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</c:numCache>
            </c:numRef>
          </c:xVal>
          <c:yVal>
            <c:numRef>
              <c:f>UnitHydrographs!$E$22:$E$47</c:f>
              <c:numCache>
                <c:formatCode>General</c:formatCode>
                <c:ptCount val="26"/>
                <c:pt idx="0">
                  <c:v>0</c:v>
                </c:pt>
                <c:pt idx="1">
                  <c:v>126.25380842984788</c:v>
                </c:pt>
                <c:pt idx="2">
                  <c:v>394.37436821262878</c:v>
                </c:pt>
                <c:pt idx="3">
                  <c:v>824.9682557069608</c:v>
                </c:pt>
                <c:pt idx="4">
                  <c:v>1130.6585998166115</c:v>
                </c:pt>
                <c:pt idx="5">
                  <c:v>1193.3140848815187</c:v>
                </c:pt>
                <c:pt idx="6">
                  <c:v>1082.5661370637758</c:v>
                </c:pt>
                <c:pt idx="7">
                  <c:v>882.61965608694163</c:v>
                </c:pt>
                <c:pt idx="8">
                  <c:v>612.00227958639448</c:v>
                </c:pt>
                <c:pt idx="9">
                  <c:v>427.46502816007893</c:v>
                </c:pt>
                <c:pt idx="10">
                  <c:v>308.55149766645366</c:v>
                </c:pt>
                <c:pt idx="11">
                  <c:v>223.7239614508625</c:v>
                </c:pt>
                <c:pt idx="12">
                  <c:v>158.46457735720873</c:v>
                </c:pt>
                <c:pt idx="13">
                  <c:v>113.865310777663</c:v>
                </c:pt>
                <c:pt idx="14">
                  <c:v>80.944149259606831</c:v>
                </c:pt>
                <c:pt idx="15">
                  <c:v>57.635081051629449</c:v>
                </c:pt>
                <c:pt idx="16">
                  <c:v>41.465969763830664</c:v>
                </c:pt>
                <c:pt idx="17">
                  <c:v>29.756785133986465</c:v>
                </c:pt>
                <c:pt idx="18">
                  <c:v>21.20126865711396</c:v>
                </c:pt>
                <c:pt idx="19">
                  <c:v>15.185401822399868</c:v>
                </c:pt>
                <c:pt idx="20">
                  <c:v>11.417715158614898</c:v>
                </c:pt>
                <c:pt idx="21">
                  <c:v>8.4575764293935833</c:v>
                </c:pt>
                <c:pt idx="22">
                  <c:v>5.5786626278701261</c:v>
                </c:pt>
                <c:pt idx="23">
                  <c:v>3.1118803535190298</c:v>
                </c:pt>
                <c:pt idx="24">
                  <c:v>0.6450980791679326</c:v>
                </c:pt>
                <c:pt idx="25">
                  <c:v>0</c:v>
                </c:pt>
              </c:numCache>
            </c:numRef>
          </c:yVal>
        </c:ser>
        <c:ser>
          <c:idx val="2"/>
          <c:order val="2"/>
          <c:tx>
            <c:v>B</c:v>
          </c:tx>
          <c:marker>
            <c:symbol val="none"/>
          </c:marker>
          <c:xVal>
            <c:numRef>
              <c:f>UnitHydrographs!$K$22:$K$62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</c:numCache>
            </c:numRef>
          </c:xVal>
          <c:yVal>
            <c:numRef>
              <c:f>UnitHydrographs!$L$22:$L$62</c:f>
              <c:numCache>
                <c:formatCode>General</c:formatCode>
                <c:ptCount val="41"/>
                <c:pt idx="0">
                  <c:v>0</c:v>
                </c:pt>
                <c:pt idx="1">
                  <c:v>102.9072203601341</c:v>
                </c:pt>
                <c:pt idx="2">
                  <c:v>309.75110505314825</c:v>
                </c:pt>
                <c:pt idx="3">
                  <c:v>635.69991390589007</c:v>
                </c:pt>
                <c:pt idx="4">
                  <c:v>1027.0133156558491</c:v>
                </c:pt>
                <c:pt idx="5">
                  <c:v>1255.684768456249</c:v>
                </c:pt>
                <c:pt idx="6">
                  <c:v>1308.8783001900756</c:v>
                </c:pt>
                <c:pt idx="7">
                  <c:v>1230.9781131103459</c:v>
                </c:pt>
                <c:pt idx="8">
                  <c:v>1070.4861853610591</c:v>
                </c:pt>
                <c:pt idx="9">
                  <c:v>854.37730491333127</c:v>
                </c:pt>
                <c:pt idx="10">
                  <c:v>612.41421372201444</c:v>
                </c:pt>
                <c:pt idx="11">
                  <c:v>462.39899220974883</c:v>
                </c:pt>
                <c:pt idx="12">
                  <c:v>352.03253067586786</c:v>
                </c:pt>
                <c:pt idx="13">
                  <c:v>271.0905981797207</c:v>
                </c:pt>
                <c:pt idx="14">
                  <c:v>204.5142948001963</c:v>
                </c:pt>
                <c:pt idx="15">
                  <c:v>156.19458316575742</c:v>
                </c:pt>
                <c:pt idx="16">
                  <c:v>118.92535546718233</c:v>
                </c:pt>
                <c:pt idx="17">
                  <c:v>89.718526366491787</c:v>
                </c:pt>
                <c:pt idx="18">
                  <c:v>67.469047470099383</c:v>
                </c:pt>
                <c:pt idx="19">
                  <c:v>51.25497586527279</c:v>
                </c:pt>
                <c:pt idx="20">
                  <c:v>39.049320245693323</c:v>
                </c:pt>
                <c:pt idx="21">
                  <c:v>29.890986579700495</c:v>
                </c:pt>
                <c:pt idx="22">
                  <c:v>22.643029834534666</c:v>
                </c:pt>
                <c:pt idx="23">
                  <c:v>17.211618938399322</c:v>
                </c:pt>
                <c:pt idx="24">
                  <c:v>13.432042855655116</c:v>
                </c:pt>
                <c:pt idx="25">
                  <c:v>10.768990720474143</c:v>
                </c:pt>
                <c:pt idx="26">
                  <c:v>8.1059385852931705</c:v>
                </c:pt>
                <c:pt idx="27">
                  <c:v>5.628186365206469</c:v>
                </c:pt>
                <c:pt idx="28">
                  <c:v>3.4089762525556582</c:v>
                </c:pt>
                <c:pt idx="29">
                  <c:v>1.1897661399048465</c:v>
                </c:pt>
                <c:pt idx="30">
                  <c:v>0</c:v>
                </c:pt>
              </c:numCache>
            </c:numRef>
          </c:yVal>
        </c:ser>
        <c:ser>
          <c:idx val="0"/>
          <c:order val="0"/>
          <c:tx>
            <c:v>C</c:v>
          </c:tx>
          <c:marker>
            <c:symbol val="none"/>
          </c:marker>
          <c:xVal>
            <c:numRef>
              <c:f>UnitHydrographs!$Q$22:$Q$55</c:f>
              <c:numCache>
                <c:formatCode>General</c:formatCode>
                <c:ptCount val="3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</c:numCache>
            </c:numRef>
          </c:xVal>
          <c:yVal>
            <c:numRef>
              <c:f>UnitHydrographs!$R$22:$R$55</c:f>
              <c:numCache>
                <c:formatCode>General</c:formatCode>
                <c:ptCount val="34"/>
                <c:pt idx="0">
                  <c:v>0</c:v>
                </c:pt>
                <c:pt idx="1">
                  <c:v>72.697413288036699</c:v>
                </c:pt>
                <c:pt idx="2">
                  <c:v>214.5995943185618</c:v>
                </c:pt>
                <c:pt idx="3">
                  <c:v>439.74443901464298</c:v>
                </c:pt>
                <c:pt idx="4">
                  <c:v>733.95942397146371</c:v>
                </c:pt>
                <c:pt idx="5">
                  <c:v>955.34236815849829</c:v>
                </c:pt>
                <c:pt idx="6">
                  <c:v>1047.5397466608524</c:v>
                </c:pt>
                <c:pt idx="7">
                  <c:v>1045.0991267290294</c:v>
                </c:pt>
                <c:pt idx="8">
                  <c:v>947.48199843603277</c:v>
                </c:pt>
                <c:pt idx="9">
                  <c:v>821.85639203777487</c:v>
                </c:pt>
                <c:pt idx="10">
                  <c:v>645.87783994286849</c:v>
                </c:pt>
                <c:pt idx="11">
                  <c:v>476.3037495114549</c:v>
                </c:pt>
                <c:pt idx="12">
                  <c:v>368.54525328618593</c:v>
                </c:pt>
                <c:pt idx="13">
                  <c:v>286.35874781939145</c:v>
                </c:pt>
                <c:pt idx="14">
                  <c:v>226.45786010323167</c:v>
                </c:pt>
                <c:pt idx="15">
                  <c:v>175.76911260020279</c:v>
                </c:pt>
                <c:pt idx="16">
                  <c:v>136.02873102194798</c:v>
                </c:pt>
                <c:pt idx="17">
                  <c:v>105.61328985530106</c:v>
                </c:pt>
                <c:pt idx="18">
                  <c:v>81.050337676976071</c:v>
                </c:pt>
                <c:pt idx="19">
                  <c:v>62.998015351558053</c:v>
                </c:pt>
                <c:pt idx="20">
                  <c:v>49.098978860300079</c:v>
                </c:pt>
                <c:pt idx="21">
                  <c:v>38.228023737531849</c:v>
                </c:pt>
                <c:pt idx="22">
                  <c:v>29.578052625727466</c:v>
                </c:pt>
                <c:pt idx="23">
                  <c:v>23.013571780120916</c:v>
                </c:pt>
                <c:pt idx="24">
                  <c:v>17.873074649083506</c:v>
                </c:pt>
                <c:pt idx="25">
                  <c:v>13.905767865345474</c:v>
                </c:pt>
                <c:pt idx="26">
                  <c:v>11.014026631633895</c:v>
                </c:pt>
                <c:pt idx="27">
                  <c:v>9.044682377951931</c:v>
                </c:pt>
                <c:pt idx="28">
                  <c:v>7.0753381242699662</c:v>
                </c:pt>
                <c:pt idx="29">
                  <c:v>5.1337657569499591</c:v>
                </c:pt>
                <c:pt idx="30">
                  <c:v>3.4926455455483216</c:v>
                </c:pt>
                <c:pt idx="31">
                  <c:v>1.8515253341466833</c:v>
                </c:pt>
                <c:pt idx="32">
                  <c:v>0.21040512274504586</c:v>
                </c:pt>
                <c:pt idx="33">
                  <c:v>0</c:v>
                </c:pt>
              </c:numCache>
            </c:numRef>
          </c:yVal>
        </c:ser>
        <c:axId val="142587776"/>
        <c:axId val="142934016"/>
      </c:scatterChart>
      <c:valAx>
        <c:axId val="14258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(hours)</a:t>
                </a:r>
              </a:p>
            </c:rich>
          </c:tx>
          <c:layout/>
        </c:title>
        <c:numFmt formatCode="General" sourceLinked="1"/>
        <c:tickLblPos val="nextTo"/>
        <c:crossAx val="142934016"/>
        <c:crosses val="autoZero"/>
        <c:crossBetween val="midCat"/>
      </c:valAx>
      <c:valAx>
        <c:axId val="14293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 discharge (cfs)</a:t>
                </a:r>
              </a:p>
            </c:rich>
          </c:tx>
          <c:layout/>
        </c:title>
        <c:numFmt formatCode="General" sourceLinked="1"/>
        <c:tickLblPos val="nextTo"/>
        <c:crossAx val="142587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908333333333333"/>
          <c:y val="0.27019976669582968"/>
          <c:w val="0.10202777777777777"/>
          <c:h val="0.2511515748031495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cat>
            <c:numRef>
              <c:f>DesignHydrograph!$A$8:$A$19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</c:numCache>
            </c:numRef>
          </c:cat>
          <c:val>
            <c:numRef>
              <c:f>DesignHydrograph!$B$8:$B$19</c:f>
              <c:numCache>
                <c:formatCode>General</c:formatCode>
                <c:ptCount val="12"/>
                <c:pt idx="0">
                  <c:v>2.2499999999999964E-2</c:v>
                </c:pt>
                <c:pt idx="1">
                  <c:v>2.2499999999999964E-2</c:v>
                </c:pt>
                <c:pt idx="2">
                  <c:v>7.0000000000000062E-2</c:v>
                </c:pt>
                <c:pt idx="3">
                  <c:v>7.0000000000000062E-2</c:v>
                </c:pt>
                <c:pt idx="4">
                  <c:v>0.18499999999999994</c:v>
                </c:pt>
                <c:pt idx="5">
                  <c:v>0.39000000000000012</c:v>
                </c:pt>
                <c:pt idx="6">
                  <c:v>1.1399999999999999</c:v>
                </c:pt>
                <c:pt idx="7">
                  <c:v>0.18499999999999994</c:v>
                </c:pt>
                <c:pt idx="8">
                  <c:v>7.0000000000000062E-2</c:v>
                </c:pt>
                <c:pt idx="9">
                  <c:v>7.0000000000000062E-2</c:v>
                </c:pt>
                <c:pt idx="10">
                  <c:v>2.2499999999999964E-2</c:v>
                </c:pt>
                <c:pt idx="11">
                  <c:v>2.2499999999999964E-2</c:v>
                </c:pt>
              </c:numCache>
            </c:numRef>
          </c:val>
        </c:ser>
        <c:axId val="143065472"/>
        <c:axId val="143067008"/>
      </c:barChart>
      <c:catAx>
        <c:axId val="143065472"/>
        <c:scaling>
          <c:orientation val="minMax"/>
        </c:scaling>
        <c:axPos val="b"/>
        <c:numFmt formatCode="General" sourceLinked="1"/>
        <c:tickLblPos val="nextTo"/>
        <c:crossAx val="143067008"/>
        <c:crosses val="autoZero"/>
        <c:auto val="1"/>
        <c:lblAlgn val="ctr"/>
        <c:lblOffset val="100"/>
      </c:catAx>
      <c:valAx>
        <c:axId val="143067008"/>
        <c:scaling>
          <c:orientation val="minMax"/>
        </c:scaling>
        <c:axPos val="l"/>
        <c:majorGridlines/>
        <c:numFmt formatCode="General" sourceLinked="1"/>
        <c:tickLblPos val="nextTo"/>
        <c:crossAx val="14306547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DesignHydrograph!$A$50:$A$84</c:f>
              <c:numCache>
                <c:formatCode>General</c:formatCode>
                <c:ptCount val="35"/>
                <c:pt idx="0">
                  <c:v>1.5</c:v>
                </c:pt>
                <c:pt idx="1">
                  <c:v>1.75</c:v>
                </c:pt>
                <c:pt idx="2">
                  <c:v>2</c:v>
                </c:pt>
                <c:pt idx="3">
                  <c:v>2.25</c:v>
                </c:pt>
                <c:pt idx="4">
                  <c:v>2.5</c:v>
                </c:pt>
                <c:pt idx="5">
                  <c:v>2.75</c:v>
                </c:pt>
                <c:pt idx="6">
                  <c:v>3</c:v>
                </c:pt>
                <c:pt idx="7">
                  <c:v>3.25</c:v>
                </c:pt>
                <c:pt idx="8">
                  <c:v>3.5</c:v>
                </c:pt>
                <c:pt idx="9">
                  <c:v>3.75</c:v>
                </c:pt>
                <c:pt idx="10">
                  <c:v>4</c:v>
                </c:pt>
                <c:pt idx="11">
                  <c:v>4.25</c:v>
                </c:pt>
                <c:pt idx="12">
                  <c:v>4.5</c:v>
                </c:pt>
                <c:pt idx="13">
                  <c:v>4.75</c:v>
                </c:pt>
                <c:pt idx="14">
                  <c:v>5</c:v>
                </c:pt>
                <c:pt idx="15">
                  <c:v>5.25</c:v>
                </c:pt>
                <c:pt idx="16">
                  <c:v>5.5</c:v>
                </c:pt>
                <c:pt idx="17">
                  <c:v>5.75</c:v>
                </c:pt>
                <c:pt idx="18">
                  <c:v>6</c:v>
                </c:pt>
                <c:pt idx="19">
                  <c:v>6.25</c:v>
                </c:pt>
                <c:pt idx="20">
                  <c:v>6.5</c:v>
                </c:pt>
                <c:pt idx="21">
                  <c:v>6.75</c:v>
                </c:pt>
                <c:pt idx="22">
                  <c:v>7</c:v>
                </c:pt>
                <c:pt idx="23">
                  <c:v>7.25</c:v>
                </c:pt>
                <c:pt idx="24">
                  <c:v>7.5</c:v>
                </c:pt>
                <c:pt idx="25">
                  <c:v>7.75</c:v>
                </c:pt>
                <c:pt idx="26">
                  <c:v>8</c:v>
                </c:pt>
                <c:pt idx="27">
                  <c:v>8.25</c:v>
                </c:pt>
                <c:pt idx="28">
                  <c:v>8.5</c:v>
                </c:pt>
                <c:pt idx="29">
                  <c:v>8.75</c:v>
                </c:pt>
                <c:pt idx="30">
                  <c:v>9</c:v>
                </c:pt>
                <c:pt idx="31">
                  <c:v>9.25</c:v>
                </c:pt>
                <c:pt idx="32">
                  <c:v>9.5</c:v>
                </c:pt>
                <c:pt idx="33">
                  <c:v>9.75</c:v>
                </c:pt>
                <c:pt idx="34">
                  <c:v>10</c:v>
                </c:pt>
              </c:numCache>
            </c:numRef>
          </c:xVal>
          <c:yVal>
            <c:numRef>
              <c:f>DesignHydrograph!$M$50:$M$84</c:f>
              <c:numCache>
                <c:formatCode>General</c:formatCode>
                <c:ptCount val="35"/>
                <c:pt idx="0">
                  <c:v>0</c:v>
                </c:pt>
                <c:pt idx="1">
                  <c:v>13.961538221967457</c:v>
                </c:pt>
                <c:pt idx="2">
                  <c:v>109.69845027687478</c:v>
                </c:pt>
                <c:pt idx="3">
                  <c:v>286.6164673405633</c:v>
                </c:pt>
                <c:pt idx="4">
                  <c:v>555.21815614746401</c:v>
                </c:pt>
                <c:pt idx="5">
                  <c:v>928.20297683208821</c:v>
                </c:pt>
                <c:pt idx="6">
                  <c:v>1266.6292805461335</c:v>
                </c:pt>
                <c:pt idx="7">
                  <c:v>1532.6003930425582</c:v>
                </c:pt>
                <c:pt idx="8">
                  <c:v>1653.1507014327276</c:v>
                </c:pt>
                <c:pt idx="9">
                  <c:v>1579.1810639152716</c:v>
                </c:pt>
                <c:pt idx="10">
                  <c:v>1392.9355546042821</c:v>
                </c:pt>
                <c:pt idx="11">
                  <c:v>1117.6764066957862</c:v>
                </c:pt>
                <c:pt idx="12">
                  <c:v>828.28173120655788</c:v>
                </c:pt>
                <c:pt idx="13">
                  <c:v>627.27990356976898</c:v>
                </c:pt>
                <c:pt idx="14">
                  <c:v>475.35570514742614</c:v>
                </c:pt>
                <c:pt idx="15">
                  <c:v>366.24495627029387</c:v>
                </c:pt>
                <c:pt idx="16">
                  <c:v>278.26686250705052</c:v>
                </c:pt>
                <c:pt idx="17">
                  <c:v>212.22599363549261</c:v>
                </c:pt>
                <c:pt idx="18">
                  <c:v>161.45153240191794</c:v>
                </c:pt>
                <c:pt idx="19">
                  <c:v>122.41811294938657</c:v>
                </c:pt>
                <c:pt idx="20">
                  <c:v>93.791443346561493</c:v>
                </c:pt>
                <c:pt idx="21">
                  <c:v>71.932331095313586</c:v>
                </c:pt>
                <c:pt idx="22">
                  <c:v>55.070727964893969</c:v>
                </c:pt>
                <c:pt idx="23">
                  <c:v>42.1238808807407</c:v>
                </c:pt>
                <c:pt idx="24">
                  <c:v>32.55622352983719</c:v>
                </c:pt>
                <c:pt idx="25">
                  <c:v>25.106998273678446</c:v>
                </c:pt>
                <c:pt idx="26">
                  <c:v>19.166487603440231</c:v>
                </c:pt>
                <c:pt idx="27">
                  <c:v>14.720948405340561</c:v>
                </c:pt>
                <c:pt idx="28">
                  <c:v>11.290045112818891</c:v>
                </c:pt>
                <c:pt idx="29">
                  <c:v>8.6010869751365799</c:v>
                </c:pt>
                <c:pt idx="30">
                  <c:v>6.2219703915801219</c:v>
                </c:pt>
                <c:pt idx="31">
                  <c:v>4.1422382140178771</c:v>
                </c:pt>
                <c:pt idx="32">
                  <c:v>2.085309450331478</c:v>
                </c:pt>
                <c:pt idx="33">
                  <c:v>0.30314951942157797</c:v>
                </c:pt>
                <c:pt idx="34">
                  <c:v>0</c:v>
                </c:pt>
              </c:numCache>
            </c:numRef>
          </c:yVal>
        </c:ser>
        <c:axId val="143098624"/>
        <c:axId val="143100160"/>
      </c:scatterChart>
      <c:valAx>
        <c:axId val="143098624"/>
        <c:scaling>
          <c:orientation val="minMax"/>
        </c:scaling>
        <c:axPos val="b"/>
        <c:numFmt formatCode="General" sourceLinked="1"/>
        <c:tickLblPos val="nextTo"/>
        <c:crossAx val="143100160"/>
        <c:crosses val="autoZero"/>
        <c:crossBetween val="midCat"/>
      </c:valAx>
      <c:valAx>
        <c:axId val="143100160"/>
        <c:scaling>
          <c:orientation val="minMax"/>
        </c:scaling>
        <c:axPos val="l"/>
        <c:majorGridlines/>
        <c:numFmt formatCode="General" sourceLinked="1"/>
        <c:tickLblPos val="nextTo"/>
        <c:crossAx val="143098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1"/>
          <c:marker>
            <c:symbol val="none"/>
          </c:marker>
          <c:xVal>
            <c:numRef>
              <c:f>DesignHydrograph!$A$50:$A$76</c:f>
              <c:numCache>
                <c:formatCode>General</c:formatCode>
                <c:ptCount val="27"/>
                <c:pt idx="0">
                  <c:v>1.5</c:v>
                </c:pt>
                <c:pt idx="1">
                  <c:v>1.75</c:v>
                </c:pt>
                <c:pt idx="2">
                  <c:v>2</c:v>
                </c:pt>
                <c:pt idx="3">
                  <c:v>2.25</c:v>
                </c:pt>
                <c:pt idx="4">
                  <c:v>2.5</c:v>
                </c:pt>
                <c:pt idx="5">
                  <c:v>2.75</c:v>
                </c:pt>
                <c:pt idx="6">
                  <c:v>3</c:v>
                </c:pt>
                <c:pt idx="7">
                  <c:v>3.25</c:v>
                </c:pt>
                <c:pt idx="8">
                  <c:v>3.5</c:v>
                </c:pt>
                <c:pt idx="9">
                  <c:v>3.75</c:v>
                </c:pt>
                <c:pt idx="10">
                  <c:v>4</c:v>
                </c:pt>
                <c:pt idx="11">
                  <c:v>4.25</c:v>
                </c:pt>
                <c:pt idx="12">
                  <c:v>4.5</c:v>
                </c:pt>
                <c:pt idx="13">
                  <c:v>4.75</c:v>
                </c:pt>
                <c:pt idx="14">
                  <c:v>5</c:v>
                </c:pt>
                <c:pt idx="15">
                  <c:v>5.25</c:v>
                </c:pt>
                <c:pt idx="16">
                  <c:v>5.5</c:v>
                </c:pt>
                <c:pt idx="17">
                  <c:v>5.75</c:v>
                </c:pt>
                <c:pt idx="18">
                  <c:v>6</c:v>
                </c:pt>
                <c:pt idx="19">
                  <c:v>6.25</c:v>
                </c:pt>
                <c:pt idx="20">
                  <c:v>6.5</c:v>
                </c:pt>
                <c:pt idx="21">
                  <c:v>6.75</c:v>
                </c:pt>
                <c:pt idx="22">
                  <c:v>7</c:v>
                </c:pt>
                <c:pt idx="23">
                  <c:v>7.25</c:v>
                </c:pt>
                <c:pt idx="24">
                  <c:v>7.5</c:v>
                </c:pt>
                <c:pt idx="25">
                  <c:v>7.75</c:v>
                </c:pt>
                <c:pt idx="26">
                  <c:v>8</c:v>
                </c:pt>
              </c:numCache>
            </c:numRef>
          </c:xVal>
          <c:yVal>
            <c:numRef>
              <c:f>DesignHydrograph!$C$50:$C$76</c:f>
              <c:numCache>
                <c:formatCode>General</c:formatCode>
                <c:ptCount val="27"/>
                <c:pt idx="1">
                  <c:v>0</c:v>
                </c:pt>
                <c:pt idx="2">
                  <c:v>44.226582839167285</c:v>
                </c:pt>
                <c:pt idx="3">
                  <c:v>138.14894681051567</c:v>
                </c:pt>
                <c:pt idx="4">
                  <c:v>288.98555500589271</c:v>
                </c:pt>
                <c:pt idx="5">
                  <c:v>396.0685768571592</c:v>
                </c:pt>
                <c:pt idx="6">
                  <c:v>418.01673061991119</c:v>
                </c:pt>
                <c:pt idx="7">
                  <c:v>379.22183524730366</c:v>
                </c:pt>
                <c:pt idx="8">
                  <c:v>309.18078290759956</c:v>
                </c:pt>
                <c:pt idx="9">
                  <c:v>214.38378653683441</c:v>
                </c:pt>
                <c:pt idx="10">
                  <c:v>149.7405718994475</c:v>
                </c:pt>
                <c:pt idx="11">
                  <c:v>108.08528108106105</c:v>
                </c:pt>
                <c:pt idx="12">
                  <c:v>78.370279972275696</c:v>
                </c:pt>
                <c:pt idx="13">
                  <c:v>55.509982983652861</c:v>
                </c:pt>
                <c:pt idx="14">
                  <c:v>39.886904500104571</c:v>
                </c:pt>
                <c:pt idx="15">
                  <c:v>28.354654541491016</c:v>
                </c:pt>
                <c:pt idx="16">
                  <c:v>20.189511257304744</c:v>
                </c:pt>
                <c:pt idx="17">
                  <c:v>14.525487742300118</c:v>
                </c:pt>
                <c:pt idx="18">
                  <c:v>10.423772075650326</c:v>
                </c:pt>
                <c:pt idx="19">
                  <c:v>7.4267832093183639</c:v>
                </c:pt>
                <c:pt idx="20">
                  <c:v>5.3194310729848517</c:v>
                </c:pt>
                <c:pt idx="21">
                  <c:v>3.9996142023476406</c:v>
                </c:pt>
                <c:pt idx="22">
                  <c:v>2.9626805656401429</c:v>
                </c:pt>
                <c:pt idx="23">
                  <c:v>1.9541999398802774</c:v>
                </c:pt>
                <c:pt idx="24">
                  <c:v>1.0900885759573626</c:v>
                </c:pt>
                <c:pt idx="25">
                  <c:v>0.22597721203444765</c:v>
                </c:pt>
                <c:pt idx="26">
                  <c:v>0</c:v>
                </c:pt>
              </c:numCache>
            </c:numRef>
          </c:yVal>
        </c:ser>
        <c:ser>
          <c:idx val="0"/>
          <c:order val="0"/>
          <c:marker>
            <c:symbol val="none"/>
          </c:marker>
          <c:xVal>
            <c:numRef>
              <c:f>DesignHydrograph!$A$50:$A$81</c:f>
              <c:numCache>
                <c:formatCode>General</c:formatCode>
                <c:ptCount val="32"/>
                <c:pt idx="0">
                  <c:v>1.5</c:v>
                </c:pt>
                <c:pt idx="1">
                  <c:v>1.75</c:v>
                </c:pt>
                <c:pt idx="2">
                  <c:v>2</c:v>
                </c:pt>
                <c:pt idx="3">
                  <c:v>2.25</c:v>
                </c:pt>
                <c:pt idx="4">
                  <c:v>2.5</c:v>
                </c:pt>
                <c:pt idx="5">
                  <c:v>2.75</c:v>
                </c:pt>
                <c:pt idx="6">
                  <c:v>3</c:v>
                </c:pt>
                <c:pt idx="7">
                  <c:v>3.25</c:v>
                </c:pt>
                <c:pt idx="8">
                  <c:v>3.5</c:v>
                </c:pt>
                <c:pt idx="9">
                  <c:v>3.75</c:v>
                </c:pt>
                <c:pt idx="10">
                  <c:v>4</c:v>
                </c:pt>
                <c:pt idx="11">
                  <c:v>4.25</c:v>
                </c:pt>
                <c:pt idx="12">
                  <c:v>4.5</c:v>
                </c:pt>
                <c:pt idx="13">
                  <c:v>4.75</c:v>
                </c:pt>
                <c:pt idx="14">
                  <c:v>5</c:v>
                </c:pt>
                <c:pt idx="15">
                  <c:v>5.25</c:v>
                </c:pt>
                <c:pt idx="16">
                  <c:v>5.5</c:v>
                </c:pt>
                <c:pt idx="17">
                  <c:v>5.75</c:v>
                </c:pt>
                <c:pt idx="18">
                  <c:v>6</c:v>
                </c:pt>
                <c:pt idx="19">
                  <c:v>6.25</c:v>
                </c:pt>
                <c:pt idx="20">
                  <c:v>6.5</c:v>
                </c:pt>
                <c:pt idx="21">
                  <c:v>6.75</c:v>
                </c:pt>
                <c:pt idx="22">
                  <c:v>7</c:v>
                </c:pt>
                <c:pt idx="23">
                  <c:v>7.25</c:v>
                </c:pt>
                <c:pt idx="24">
                  <c:v>7.5</c:v>
                </c:pt>
                <c:pt idx="25">
                  <c:v>7.75</c:v>
                </c:pt>
                <c:pt idx="26">
                  <c:v>8</c:v>
                </c:pt>
                <c:pt idx="27">
                  <c:v>8.25</c:v>
                </c:pt>
                <c:pt idx="28">
                  <c:v>8.5</c:v>
                </c:pt>
                <c:pt idx="29">
                  <c:v>8.75</c:v>
                </c:pt>
                <c:pt idx="30">
                  <c:v>9</c:v>
                </c:pt>
                <c:pt idx="31">
                  <c:v>9.25</c:v>
                </c:pt>
              </c:numCache>
            </c:numRef>
          </c:xVal>
          <c:yVal>
            <c:numRef>
              <c:f>DesignHydrograph!$F$50:$F$81</c:f>
              <c:numCache>
                <c:formatCode>General</c:formatCode>
                <c:ptCount val="32"/>
                <c:pt idx="1">
                  <c:v>0</c:v>
                </c:pt>
                <c:pt idx="2">
                  <c:v>9.0764168357638333</c:v>
                </c:pt>
                <c:pt idx="3">
                  <c:v>27.320047465687693</c:v>
                </c:pt>
                <c:pt idx="4">
                  <c:v>56.068732406499542</c:v>
                </c:pt>
                <c:pt idx="5">
                  <c:v>90.582574440845946</c:v>
                </c:pt>
                <c:pt idx="6">
                  <c:v>110.75139657784123</c:v>
                </c:pt>
                <c:pt idx="7">
                  <c:v>115.44306607676474</c:v>
                </c:pt>
                <c:pt idx="8">
                  <c:v>108.57226957633257</c:v>
                </c:pt>
                <c:pt idx="9">
                  <c:v>94.416881548845481</c:v>
                </c:pt>
                <c:pt idx="10">
                  <c:v>75.356078293355864</c:v>
                </c:pt>
                <c:pt idx="11">
                  <c:v>54.014933650281705</c:v>
                </c:pt>
                <c:pt idx="12">
                  <c:v>40.78359111289987</c:v>
                </c:pt>
                <c:pt idx="13">
                  <c:v>31.049269205611566</c:v>
                </c:pt>
                <c:pt idx="14">
                  <c:v>23.910190759451382</c:v>
                </c:pt>
                <c:pt idx="15">
                  <c:v>18.038160801377323</c:v>
                </c:pt>
                <c:pt idx="16">
                  <c:v>13.776362235219814</c:v>
                </c:pt>
                <c:pt idx="17">
                  <c:v>10.489216352205489</c:v>
                </c:pt>
                <c:pt idx="18">
                  <c:v>7.9131740255245804</c:v>
                </c:pt>
                <c:pt idx="19">
                  <c:v>5.9507699868627695</c:v>
                </c:pt>
                <c:pt idx="20">
                  <c:v>4.5206888713170628</c:v>
                </c:pt>
                <c:pt idx="21">
                  <c:v>3.4441500456701535</c:v>
                </c:pt>
                <c:pt idx="22">
                  <c:v>2.6363850163295854</c:v>
                </c:pt>
                <c:pt idx="23">
                  <c:v>1.9971152314059588</c:v>
                </c:pt>
                <c:pt idx="24">
                  <c:v>1.5180647903668212</c:v>
                </c:pt>
                <c:pt idx="25">
                  <c:v>1.1847061798687819</c:v>
                </c:pt>
                <c:pt idx="26">
                  <c:v>0.94982498154582007</c:v>
                </c:pt>
                <c:pt idx="27">
                  <c:v>0.71494378322285812</c:v>
                </c:pt>
                <c:pt idx="28">
                  <c:v>0.49640603741121087</c:v>
                </c:pt>
                <c:pt idx="29">
                  <c:v>0.30067170547540922</c:v>
                </c:pt>
                <c:pt idx="30">
                  <c:v>0.10493737353960753</c:v>
                </c:pt>
                <c:pt idx="31">
                  <c:v>0</c:v>
                </c:pt>
              </c:numCache>
            </c:numRef>
          </c:yVal>
        </c:ser>
        <c:axId val="114592000"/>
        <c:axId val="114775552"/>
      </c:scatterChart>
      <c:valAx>
        <c:axId val="114592000"/>
        <c:scaling>
          <c:orientation val="minMax"/>
        </c:scaling>
        <c:axPos val="b"/>
        <c:numFmt formatCode="General" sourceLinked="1"/>
        <c:tickLblPos val="nextTo"/>
        <c:crossAx val="114775552"/>
        <c:crosses val="autoZero"/>
        <c:crossBetween val="midCat"/>
      </c:valAx>
      <c:valAx>
        <c:axId val="114775552"/>
        <c:scaling>
          <c:orientation val="minMax"/>
        </c:scaling>
        <c:axPos val="l"/>
        <c:majorGridlines/>
        <c:numFmt formatCode="General" sourceLinked="1"/>
        <c:tickLblPos val="nextTo"/>
        <c:crossAx val="114592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517813</xdr:colOff>
      <xdr:row>31</xdr:row>
      <xdr:rowOff>85726</xdr:rowOff>
    </xdr:from>
    <xdr:to>
      <xdr:col>15</xdr:col>
      <xdr:colOff>181841</xdr:colOff>
      <xdr:row>45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298739</xdr:colOff>
      <xdr:row>46</xdr:row>
      <xdr:rowOff>102175</xdr:rowOff>
    </xdr:from>
    <xdr:to>
      <xdr:col>13</xdr:col>
      <xdr:colOff>453737</xdr:colOff>
      <xdr:row>60</xdr:row>
      <xdr:rowOff>178375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6</xdr:row>
      <xdr:rowOff>38100</xdr:rowOff>
    </xdr:from>
    <xdr:to>
      <xdr:col>14</xdr:col>
      <xdr:colOff>542925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86</xdr:row>
      <xdr:rowOff>28575</xdr:rowOff>
    </xdr:from>
    <xdr:to>
      <xdr:col>12</xdr:col>
      <xdr:colOff>447675</xdr:colOff>
      <xdr:row>100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16</xdr:row>
      <xdr:rowOff>114300</xdr:rowOff>
    </xdr:from>
    <xdr:to>
      <xdr:col>17</xdr:col>
      <xdr:colOff>133350</xdr:colOff>
      <xdr:row>16</xdr:row>
      <xdr:rowOff>114300</xdr:rowOff>
    </xdr:to>
    <xdr:cxnSp macro="">
      <xdr:nvCxnSpPr>
        <xdr:cNvPr id="6" name="Straight Connector 5"/>
        <xdr:cNvCxnSpPr/>
      </xdr:nvCxnSpPr>
      <xdr:spPr>
        <a:xfrm>
          <a:off x="5257800" y="3162300"/>
          <a:ext cx="56578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106</xdr:row>
      <xdr:rowOff>38100</xdr:rowOff>
    </xdr:from>
    <xdr:to>
      <xdr:col>11</xdr:col>
      <xdr:colOff>257175</xdr:colOff>
      <xdr:row>120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95"/>
  <sheetViews>
    <sheetView topLeftCell="A20" zoomScale="110" zoomScaleNormal="110" workbookViewId="0">
      <selection activeCell="U50" sqref="U50"/>
    </sheetView>
  </sheetViews>
  <sheetFormatPr defaultRowHeight="15"/>
  <cols>
    <col min="9" max="9" width="11.42578125" customWidth="1"/>
    <col min="15" max="15" width="9.5703125" bestFit="1" customWidth="1"/>
  </cols>
  <sheetData>
    <row r="1" spans="1:16">
      <c r="A1" t="s">
        <v>1</v>
      </c>
      <c r="G1" t="s">
        <v>3</v>
      </c>
      <c r="I1" t="s">
        <v>2</v>
      </c>
      <c r="M1" t="s">
        <v>8</v>
      </c>
      <c r="O1" t="s">
        <v>2</v>
      </c>
    </row>
    <row r="2" spans="1:16">
      <c r="A2" t="s">
        <v>4</v>
      </c>
      <c r="B2" s="2">
        <v>1</v>
      </c>
      <c r="G2" t="s">
        <v>9</v>
      </c>
      <c r="M2" t="s">
        <v>59</v>
      </c>
    </row>
    <row r="3" spans="1:16">
      <c r="A3" t="s">
        <v>57</v>
      </c>
      <c r="G3" t="s">
        <v>4</v>
      </c>
      <c r="H3" s="1">
        <v>0.3</v>
      </c>
      <c r="I3">
        <v>55</v>
      </c>
      <c r="J3">
        <f>I3*H3</f>
        <v>16.5</v>
      </c>
      <c r="M3" t="s">
        <v>6</v>
      </c>
      <c r="N3" s="1">
        <v>0.6</v>
      </c>
      <c r="O3">
        <v>87</v>
      </c>
      <c r="P3">
        <f>O3*N3</f>
        <v>52.199999999999996</v>
      </c>
    </row>
    <row r="4" spans="1:16">
      <c r="A4" t="s">
        <v>2</v>
      </c>
      <c r="B4">
        <v>70</v>
      </c>
      <c r="G4" t="s">
        <v>5</v>
      </c>
      <c r="H4" s="2">
        <v>0.6</v>
      </c>
      <c r="I4">
        <v>58</v>
      </c>
      <c r="J4">
        <f t="shared" ref="J4:J5" si="0">I4*H4</f>
        <v>34.799999999999997</v>
      </c>
      <c r="M4" t="s">
        <v>10</v>
      </c>
      <c r="N4" s="2">
        <v>0.2</v>
      </c>
      <c r="O4">
        <v>95</v>
      </c>
      <c r="P4">
        <f t="shared" ref="P4:P5" si="1">O4*N4</f>
        <v>19</v>
      </c>
    </row>
    <row r="5" spans="1:16">
      <c r="G5" t="s">
        <v>6</v>
      </c>
      <c r="H5" s="2">
        <v>0.1</v>
      </c>
      <c r="I5">
        <v>70</v>
      </c>
      <c r="J5">
        <f t="shared" si="0"/>
        <v>7</v>
      </c>
      <c r="M5" t="s">
        <v>11</v>
      </c>
      <c r="N5" s="2">
        <v>0.2</v>
      </c>
      <c r="O5">
        <v>80</v>
      </c>
      <c r="P5">
        <f t="shared" si="1"/>
        <v>16</v>
      </c>
    </row>
    <row r="7" spans="1:16">
      <c r="A7" t="s">
        <v>7</v>
      </c>
      <c r="B7">
        <f>B4</f>
        <v>70</v>
      </c>
      <c r="G7" t="s">
        <v>7</v>
      </c>
      <c r="I7">
        <f>SUM(J3:J5)</f>
        <v>58.3</v>
      </c>
      <c r="M7" t="s">
        <v>7</v>
      </c>
      <c r="O7">
        <f>SUM(P3:P5)</f>
        <v>87.199999999999989</v>
      </c>
    </row>
    <row r="8" spans="1:16">
      <c r="A8" t="s">
        <v>12</v>
      </c>
      <c r="B8" s="9">
        <f>1000/B7-10</f>
        <v>4.2857142857142865</v>
      </c>
      <c r="C8" t="s">
        <v>34</v>
      </c>
      <c r="I8" s="9">
        <f>1000/I7-10</f>
        <v>7.1526586620926267</v>
      </c>
      <c r="J8" t="s">
        <v>34</v>
      </c>
      <c r="O8" s="5">
        <f>1000/O7-10</f>
        <v>1.4678899082568826</v>
      </c>
    </row>
    <row r="9" spans="1:16">
      <c r="A9" t="s">
        <v>13</v>
      </c>
      <c r="B9">
        <v>20</v>
      </c>
      <c r="C9" t="s">
        <v>14</v>
      </c>
      <c r="I9">
        <v>15</v>
      </c>
      <c r="J9" t="s">
        <v>14</v>
      </c>
      <c r="O9">
        <v>3</v>
      </c>
      <c r="P9" t="s">
        <v>14</v>
      </c>
    </row>
    <row r="10" spans="1:16">
      <c r="A10" t="s">
        <v>15</v>
      </c>
      <c r="B10">
        <v>4</v>
      </c>
      <c r="C10" t="s">
        <v>16</v>
      </c>
      <c r="I10">
        <v>3</v>
      </c>
      <c r="J10" t="s">
        <v>16</v>
      </c>
      <c r="O10">
        <v>3.5</v>
      </c>
      <c r="P10" t="s">
        <v>16</v>
      </c>
    </row>
    <row r="11" spans="1:16">
      <c r="A11" t="s">
        <v>15</v>
      </c>
      <c r="B11">
        <f>B10*5280</f>
        <v>21120</v>
      </c>
      <c r="C11" t="s">
        <v>0</v>
      </c>
      <c r="I11">
        <f>I10*5280</f>
        <v>15840</v>
      </c>
      <c r="J11" t="s">
        <v>0</v>
      </c>
      <c r="O11">
        <f>O10*5280</f>
        <v>18480</v>
      </c>
      <c r="P11" t="s">
        <v>0</v>
      </c>
    </row>
    <row r="12" spans="1:16">
      <c r="A12" t="s">
        <v>29</v>
      </c>
      <c r="B12">
        <v>3</v>
      </c>
      <c r="C12" t="s">
        <v>30</v>
      </c>
      <c r="I12">
        <v>4</v>
      </c>
      <c r="J12" t="s">
        <v>30</v>
      </c>
      <c r="O12">
        <v>3.5</v>
      </c>
      <c r="P12" t="s">
        <v>30</v>
      </c>
    </row>
    <row r="13" spans="1:16">
      <c r="A13" t="s">
        <v>17</v>
      </c>
      <c r="B13" s="5">
        <f>B11^0.8*(B8+1)^0.7/(1900*B9^0.5)</f>
        <v>1.0880756995839374</v>
      </c>
      <c r="C13" t="s">
        <v>18</v>
      </c>
      <c r="I13" s="5">
        <f>I11^0.8*(I8+1)^0.7/(1900*I9^0.5)</f>
        <v>1.3518060724201479</v>
      </c>
      <c r="J13" t="s">
        <v>18</v>
      </c>
      <c r="O13" s="5">
        <f>O11^0.8*(O8+1)^0.7/(1900*O9^0.5)</f>
        <v>1.48141041165916</v>
      </c>
      <c r="P13" t="s">
        <v>18</v>
      </c>
    </row>
    <row r="15" spans="1:16">
      <c r="A15" t="s">
        <v>19</v>
      </c>
      <c r="B15">
        <v>0.25</v>
      </c>
      <c r="C15" t="s">
        <v>18</v>
      </c>
      <c r="H15" t="s">
        <v>19</v>
      </c>
      <c r="I15">
        <v>0.25</v>
      </c>
      <c r="J15" t="s">
        <v>18</v>
      </c>
      <c r="N15" t="s">
        <v>19</v>
      </c>
      <c r="O15">
        <v>0.25</v>
      </c>
      <c r="P15" t="s">
        <v>18</v>
      </c>
    </row>
    <row r="16" spans="1:16">
      <c r="A16" t="s">
        <v>20</v>
      </c>
      <c r="B16" s="4">
        <f>B15/2+B13</f>
        <v>1.2130756995839374</v>
      </c>
      <c r="C16" t="s">
        <v>18</v>
      </c>
      <c r="H16" t="s">
        <v>20</v>
      </c>
      <c r="I16" s="4">
        <f>I15/2+I13</f>
        <v>1.4768060724201479</v>
      </c>
      <c r="J16" t="s">
        <v>18</v>
      </c>
      <c r="N16" t="s">
        <v>20</v>
      </c>
      <c r="O16" s="4">
        <f>O15/2+O13</f>
        <v>1.60641041165916</v>
      </c>
      <c r="P16" t="s">
        <v>18</v>
      </c>
    </row>
    <row r="17" spans="1:18">
      <c r="A17" t="s">
        <v>28</v>
      </c>
      <c r="B17" s="9">
        <f>484*B12/B16</f>
        <v>1196.957453271885</v>
      </c>
      <c r="C17" t="s">
        <v>58</v>
      </c>
      <c r="H17" t="s">
        <v>28</v>
      </c>
      <c r="I17" s="9">
        <f>484*I12/I16</f>
        <v>1310.9371881355676</v>
      </c>
      <c r="J17" t="s">
        <v>58</v>
      </c>
      <c r="N17" t="s">
        <v>28</v>
      </c>
      <c r="O17" s="9">
        <f>484*O12/O16</f>
        <v>1054.5250377519492</v>
      </c>
      <c r="P17" t="s">
        <v>58</v>
      </c>
    </row>
    <row r="18" spans="1:18">
      <c r="A18" t="s">
        <v>31</v>
      </c>
      <c r="B18" s="4">
        <f>1.67*B16</f>
        <v>2.0258364183051754</v>
      </c>
      <c r="C18" t="s">
        <v>18</v>
      </c>
      <c r="H18" t="s">
        <v>31</v>
      </c>
      <c r="I18" s="4">
        <f>1.67*I16</f>
        <v>2.4662661409416469</v>
      </c>
      <c r="J18" t="s">
        <v>18</v>
      </c>
      <c r="N18" t="s">
        <v>31</v>
      </c>
      <c r="O18" s="4">
        <f>1.67*O16</f>
        <v>2.6827053874707971</v>
      </c>
      <c r="P18" t="s">
        <v>18</v>
      </c>
    </row>
    <row r="19" spans="1:18">
      <c r="B19" s="4"/>
      <c r="I19" s="4"/>
      <c r="O19" s="4"/>
    </row>
    <row r="20" spans="1:18">
      <c r="D20" t="s">
        <v>51</v>
      </c>
      <c r="K20" t="s">
        <v>52</v>
      </c>
      <c r="Q20" t="s">
        <v>53</v>
      </c>
    </row>
    <row r="21" spans="1:18">
      <c r="A21" t="s">
        <v>26</v>
      </c>
      <c r="B21" t="s">
        <v>27</v>
      </c>
      <c r="D21" t="s">
        <v>26</v>
      </c>
      <c r="E21" t="s">
        <v>27</v>
      </c>
      <c r="H21" t="s">
        <v>26</v>
      </c>
      <c r="I21" t="s">
        <v>27</v>
      </c>
      <c r="K21" t="s">
        <v>26</v>
      </c>
      <c r="L21" t="s">
        <v>27</v>
      </c>
      <c r="N21" t="s">
        <v>26</v>
      </c>
      <c r="O21" t="s">
        <v>27</v>
      </c>
      <c r="Q21" t="s">
        <v>26</v>
      </c>
      <c r="R21" t="s">
        <v>27</v>
      </c>
    </row>
    <row r="22" spans="1:18">
      <c r="A22">
        <f>StdUH!$A4*B$16</f>
        <v>0</v>
      </c>
      <c r="B22">
        <f>B$17*StdUH!$B4</f>
        <v>0</v>
      </c>
      <c r="D22">
        <v>0</v>
      </c>
      <c r="E22">
        <f>Linterp($A$22:$B$55,D22)</f>
        <v>0</v>
      </c>
      <c r="H22">
        <f>StdUH!$A4*I$16</f>
        <v>0</v>
      </c>
      <c r="I22">
        <f>I$17*StdUH!$B4</f>
        <v>0</v>
      </c>
      <c r="K22">
        <v>0</v>
      </c>
      <c r="L22">
        <f>Linterp($H$22:$I$55,K22)</f>
        <v>0</v>
      </c>
      <c r="N22">
        <f>StdUH!$A4*O$16</f>
        <v>0</v>
      </c>
      <c r="O22">
        <f>O$17*StdUH!$B4</f>
        <v>0</v>
      </c>
      <c r="Q22">
        <v>0</v>
      </c>
      <c r="R22">
        <f>Linterp($N$22:$O$55,Q22)</f>
        <v>0</v>
      </c>
    </row>
    <row r="23" spans="1:18">
      <c r="A23">
        <f>StdUH!$A5*B$16</f>
        <v>0.12130756995839374</v>
      </c>
      <c r="B23">
        <f>B$17*StdUH!$B5</f>
        <v>35.908723598156548</v>
      </c>
      <c r="D23">
        <f>D22+$B$15</f>
        <v>0.25</v>
      </c>
      <c r="E23">
        <f t="shared" ref="E23:E47" si="2">Linterp($A$22:$B$55,D23)</f>
        <v>126.25380842984788</v>
      </c>
      <c r="H23">
        <f>StdUH!$A5*I$16</f>
        <v>0.14768060724201479</v>
      </c>
      <c r="I23">
        <f>I$17*StdUH!$B5</f>
        <v>39.328115644067026</v>
      </c>
      <c r="K23">
        <f>K22+$B$15</f>
        <v>0.25</v>
      </c>
      <c r="L23">
        <f t="shared" ref="L23" si="3">Linterp($H$22:$I$55,K23)</f>
        <v>102.9072203601341</v>
      </c>
      <c r="N23">
        <f>StdUH!$A5*O$16</f>
        <v>0.16064104116591602</v>
      </c>
      <c r="O23">
        <f>O$17*StdUH!$B5</f>
        <v>31.635751132558475</v>
      </c>
      <c r="Q23">
        <f>Q22+$B$15</f>
        <v>0.25</v>
      </c>
      <c r="R23">
        <f t="shared" ref="R23" si="4">Linterp($N$22:$O$55,Q23)</f>
        <v>72.697413288036699</v>
      </c>
    </row>
    <row r="24" spans="1:18">
      <c r="A24">
        <f>StdUH!$A6*B$16</f>
        <v>0.24261513991678749</v>
      </c>
      <c r="B24">
        <f>B$17*StdUH!$B6</f>
        <v>119.6957453271885</v>
      </c>
      <c r="D24">
        <f t="shared" ref="D24:D47" si="5">D23+$B$15</f>
        <v>0.5</v>
      </c>
      <c r="E24">
        <f t="shared" si="2"/>
        <v>394.37436821262878</v>
      </c>
      <c r="H24">
        <f>StdUH!$A6*I$16</f>
        <v>0.29536121448402958</v>
      </c>
      <c r="I24">
        <f>I$17*StdUH!$B6</f>
        <v>131.09371881355676</v>
      </c>
      <c r="K24">
        <f t="shared" ref="K24:K52" si="6">K23+$B$15</f>
        <v>0.5</v>
      </c>
      <c r="L24">
        <f t="shared" ref="L24:L52" si="7">Linterp($H$22:$I$55,K24)</f>
        <v>309.75110505314825</v>
      </c>
      <c r="N24">
        <f>StdUH!$A6*O$16</f>
        <v>0.32128208233183203</v>
      </c>
      <c r="O24">
        <f>O$17*StdUH!$B6</f>
        <v>105.45250377519493</v>
      </c>
      <c r="Q24">
        <f t="shared" ref="Q24:Q54" si="8">Q23+$B$15</f>
        <v>0.5</v>
      </c>
      <c r="R24">
        <f t="shared" ref="R24:R55" si="9">Linterp($N$22:$O$55,Q24)</f>
        <v>214.5995943185618</v>
      </c>
    </row>
    <row r="25" spans="1:18">
      <c r="A25">
        <f>StdUH!$A7*B$16</f>
        <v>0.36392270987518122</v>
      </c>
      <c r="B25">
        <f>B$17*StdUH!$B7</f>
        <v>227.42191612165814</v>
      </c>
      <c r="D25">
        <f t="shared" si="5"/>
        <v>0.75</v>
      </c>
      <c r="E25">
        <f t="shared" si="2"/>
        <v>824.9682557069608</v>
      </c>
      <c r="H25">
        <f>StdUH!$A7*I$16</f>
        <v>0.44304182172604439</v>
      </c>
      <c r="I25">
        <f>I$17*StdUH!$B7</f>
        <v>249.07806574575784</v>
      </c>
      <c r="K25">
        <f t="shared" si="6"/>
        <v>0.75</v>
      </c>
      <c r="L25">
        <f t="shared" si="7"/>
        <v>635.69991390589007</v>
      </c>
      <c r="N25">
        <f>StdUH!$A7*O$16</f>
        <v>0.48192312349774796</v>
      </c>
      <c r="O25">
        <f>O$17*StdUH!$B7</f>
        <v>200.35975717287036</v>
      </c>
      <c r="Q25">
        <f t="shared" si="8"/>
        <v>0.75</v>
      </c>
      <c r="R25">
        <f t="shared" si="9"/>
        <v>439.74443901464298</v>
      </c>
    </row>
    <row r="26" spans="1:18">
      <c r="A26">
        <f>StdUH!$A8*B$16</f>
        <v>0.48523027983357497</v>
      </c>
      <c r="B26">
        <f>B$17*StdUH!$B8</f>
        <v>371.05681051428434</v>
      </c>
      <c r="D26">
        <f t="shared" si="5"/>
        <v>1</v>
      </c>
      <c r="E26">
        <f t="shared" si="2"/>
        <v>1130.6585998166115</v>
      </c>
      <c r="H26">
        <f>StdUH!$A8*I$16</f>
        <v>0.59072242896805915</v>
      </c>
      <c r="I26">
        <f>I$17*StdUH!$B8</f>
        <v>406.39052832202594</v>
      </c>
      <c r="K26">
        <f t="shared" si="6"/>
        <v>1</v>
      </c>
      <c r="L26">
        <f t="shared" si="7"/>
        <v>1027.0133156558491</v>
      </c>
      <c r="N26">
        <f>StdUH!$A8*O$16</f>
        <v>0.64256416466366406</v>
      </c>
      <c r="O26">
        <f>O$17*StdUH!$B8</f>
        <v>326.90276170310426</v>
      </c>
      <c r="Q26">
        <f t="shared" si="8"/>
        <v>1</v>
      </c>
      <c r="R26">
        <f t="shared" si="9"/>
        <v>733.95942397146371</v>
      </c>
    </row>
    <row r="27" spans="1:18">
      <c r="A27">
        <f>StdUH!$A9*B$16</f>
        <v>0.60653784979196868</v>
      </c>
      <c r="B27">
        <f>B$17*StdUH!$B9</f>
        <v>562.57000303778591</v>
      </c>
      <c r="D27">
        <f t="shared" si="5"/>
        <v>1.25</v>
      </c>
      <c r="E27">
        <f t="shared" si="2"/>
        <v>1193.3140848815187</v>
      </c>
      <c r="H27">
        <f>StdUH!$A9*I$16</f>
        <v>0.73840303621007397</v>
      </c>
      <c r="I27">
        <f>I$17*StdUH!$B9</f>
        <v>616.14047842371667</v>
      </c>
      <c r="K27">
        <f t="shared" si="6"/>
        <v>1.25</v>
      </c>
      <c r="L27">
        <f t="shared" si="7"/>
        <v>1255.684768456249</v>
      </c>
      <c r="N27">
        <f>StdUH!$A9*O$16</f>
        <v>0.80320520582957999</v>
      </c>
      <c r="O27">
        <f>O$17*StdUH!$B9</f>
        <v>495.62676774341611</v>
      </c>
      <c r="Q27">
        <f t="shared" si="8"/>
        <v>1.25</v>
      </c>
      <c r="R27">
        <f t="shared" si="9"/>
        <v>955.34236815849829</v>
      </c>
    </row>
    <row r="28" spans="1:18">
      <c r="A28">
        <f>StdUH!$A10*B$16</f>
        <v>0.72784541975036243</v>
      </c>
      <c r="B28">
        <f>B$17*StdUH!$B10</f>
        <v>789.99191915944414</v>
      </c>
      <c r="D28">
        <f t="shared" si="5"/>
        <v>1.5</v>
      </c>
      <c r="E28">
        <f t="shared" si="2"/>
        <v>1082.5661370637758</v>
      </c>
      <c r="H28">
        <f>StdUH!$A10*I$16</f>
        <v>0.88608364345208879</v>
      </c>
      <c r="I28">
        <f>I$17*StdUH!$B10</f>
        <v>865.21854416947463</v>
      </c>
      <c r="K28">
        <f t="shared" si="6"/>
        <v>1.5</v>
      </c>
      <c r="L28">
        <f t="shared" si="7"/>
        <v>1308.8783001900756</v>
      </c>
      <c r="N28">
        <f>StdUH!$A10*O$16</f>
        <v>0.96384624699549593</v>
      </c>
      <c r="O28">
        <f>O$17*StdUH!$B10</f>
        <v>695.9865249162865</v>
      </c>
      <c r="Q28">
        <f t="shared" si="8"/>
        <v>1.5</v>
      </c>
      <c r="R28">
        <f t="shared" si="9"/>
        <v>1047.5397466608524</v>
      </c>
    </row>
    <row r="29" spans="1:18">
      <c r="A29">
        <f>StdUH!$A11*B$16</f>
        <v>0.84915298970875608</v>
      </c>
      <c r="B29">
        <f>B$17*StdUH!$B11</f>
        <v>981.50511168294565</v>
      </c>
      <c r="D29">
        <f t="shared" si="5"/>
        <v>1.75</v>
      </c>
      <c r="E29">
        <f t="shared" si="2"/>
        <v>882.61965608694163</v>
      </c>
      <c r="H29">
        <f>StdUH!$A11*I$16</f>
        <v>1.0337642506941036</v>
      </c>
      <c r="I29">
        <f>I$17*StdUH!$B11</f>
        <v>1074.9684942711654</v>
      </c>
      <c r="K29">
        <f t="shared" si="6"/>
        <v>1.75</v>
      </c>
      <c r="L29">
        <f t="shared" si="7"/>
        <v>1230.9781131103459</v>
      </c>
      <c r="N29">
        <f>StdUH!$A11*O$16</f>
        <v>1.1244872881614119</v>
      </c>
      <c r="O29">
        <f>O$17*StdUH!$B11</f>
        <v>864.71053095659829</v>
      </c>
      <c r="Q29">
        <f t="shared" si="8"/>
        <v>1.75</v>
      </c>
      <c r="R29">
        <f t="shared" si="9"/>
        <v>1045.0991267290294</v>
      </c>
    </row>
    <row r="30" spans="1:18">
      <c r="A30">
        <f>StdUH!$A12*B$16</f>
        <v>0.97046055966714995</v>
      </c>
      <c r="B30">
        <f>B$17*StdUH!$B12</f>
        <v>1113.1704315428531</v>
      </c>
      <c r="D30">
        <f t="shared" si="5"/>
        <v>2</v>
      </c>
      <c r="E30">
        <f t="shared" si="2"/>
        <v>612.00227958639448</v>
      </c>
      <c r="H30">
        <f>StdUH!$A12*I$16</f>
        <v>1.1814448579361183</v>
      </c>
      <c r="I30">
        <f>I$17*StdUH!$B12</f>
        <v>1219.1715849660779</v>
      </c>
      <c r="K30">
        <f t="shared" si="6"/>
        <v>2</v>
      </c>
      <c r="L30">
        <f t="shared" si="7"/>
        <v>1070.4861853610591</v>
      </c>
      <c r="N30">
        <f>StdUH!$A12*O$16</f>
        <v>1.2851283293273281</v>
      </c>
      <c r="O30">
        <f>O$17*StdUH!$B12</f>
        <v>980.70828510931278</v>
      </c>
      <c r="Q30">
        <f t="shared" si="8"/>
        <v>2</v>
      </c>
      <c r="R30">
        <f t="shared" si="9"/>
        <v>947.48199843603277</v>
      </c>
    </row>
    <row r="31" spans="1:18">
      <c r="A31">
        <f>StdUH!$A13*B$16</f>
        <v>1.0917681296255437</v>
      </c>
      <c r="B31">
        <f>B$17*StdUH!$B13</f>
        <v>1184.9878787391663</v>
      </c>
      <c r="D31">
        <f t="shared" si="5"/>
        <v>2.25</v>
      </c>
      <c r="E31">
        <f t="shared" si="2"/>
        <v>427.46502816007893</v>
      </c>
      <c r="H31">
        <f>StdUH!$A13*I$16</f>
        <v>1.3291254651781332</v>
      </c>
      <c r="I31">
        <f>I$17*StdUH!$B13</f>
        <v>1297.8278162542119</v>
      </c>
      <c r="K31">
        <f t="shared" si="6"/>
        <v>2.25</v>
      </c>
      <c r="L31">
        <f t="shared" si="7"/>
        <v>854.37730491333127</v>
      </c>
      <c r="N31">
        <f>StdUH!$A13*O$16</f>
        <v>1.4457693704932439</v>
      </c>
      <c r="O31">
        <f>O$17*StdUH!$B13</f>
        <v>1043.9797873744296</v>
      </c>
      <c r="Q31">
        <f t="shared" si="8"/>
        <v>2.25</v>
      </c>
      <c r="R31">
        <f t="shared" si="9"/>
        <v>821.85639203777487</v>
      </c>
    </row>
    <row r="32" spans="1:18">
      <c r="A32">
        <f>StdUH!$A14*B$16</f>
        <v>1.2130756995839374</v>
      </c>
      <c r="B32">
        <f>B$17*StdUH!$B14</f>
        <v>1196.957453271885</v>
      </c>
      <c r="D32">
        <f t="shared" si="5"/>
        <v>2.5</v>
      </c>
      <c r="E32">
        <f t="shared" si="2"/>
        <v>308.55149766645366</v>
      </c>
      <c r="H32">
        <f>StdUH!$A14*I$16</f>
        <v>1.4768060724201479</v>
      </c>
      <c r="I32">
        <f>I$17*StdUH!$B14</f>
        <v>1310.9371881355676</v>
      </c>
      <c r="K32">
        <f t="shared" si="6"/>
        <v>2.5</v>
      </c>
      <c r="L32">
        <f t="shared" si="7"/>
        <v>612.41421372201444</v>
      </c>
      <c r="N32">
        <f>StdUH!$A14*O$16</f>
        <v>1.60641041165916</v>
      </c>
      <c r="O32">
        <f>O$17*StdUH!$B14</f>
        <v>1054.5250377519492</v>
      </c>
      <c r="Q32">
        <f t="shared" si="8"/>
        <v>2.5</v>
      </c>
      <c r="R32">
        <f t="shared" si="9"/>
        <v>645.87783994286849</v>
      </c>
    </row>
    <row r="33" spans="1:18">
      <c r="A33">
        <f>StdUH!$A15*B$16</f>
        <v>1.3343832695423312</v>
      </c>
      <c r="B33">
        <f>B$17*StdUH!$B15</f>
        <v>1184.9878787391663</v>
      </c>
      <c r="D33">
        <f t="shared" si="5"/>
        <v>2.75</v>
      </c>
      <c r="E33">
        <f t="shared" si="2"/>
        <v>223.7239614508625</v>
      </c>
      <c r="H33">
        <f>StdUH!$A15*I$16</f>
        <v>1.6244866796621629</v>
      </c>
      <c r="I33">
        <f>I$17*StdUH!$B15</f>
        <v>1297.8278162542119</v>
      </c>
      <c r="K33">
        <f t="shared" si="6"/>
        <v>2.75</v>
      </c>
      <c r="L33">
        <f t="shared" si="7"/>
        <v>462.39899220974883</v>
      </c>
      <c r="N33">
        <f>StdUH!$A15*O$16</f>
        <v>1.767051452825076</v>
      </c>
      <c r="O33">
        <f>O$17*StdUH!$B15</f>
        <v>1043.9797873744296</v>
      </c>
      <c r="Q33">
        <f t="shared" si="8"/>
        <v>2.75</v>
      </c>
      <c r="R33">
        <f t="shared" si="9"/>
        <v>476.3037495114549</v>
      </c>
    </row>
    <row r="34" spans="1:18">
      <c r="A34">
        <f>StdUH!$A16*B$16</f>
        <v>1.4556908395007249</v>
      </c>
      <c r="B34">
        <f>B$17*StdUH!$B16</f>
        <v>1113.1704315428531</v>
      </c>
      <c r="D34">
        <f t="shared" si="5"/>
        <v>3</v>
      </c>
      <c r="E34">
        <f t="shared" si="2"/>
        <v>158.46457735720873</v>
      </c>
      <c r="H34">
        <f>StdUH!$A16*I$16</f>
        <v>1.7721672869041776</v>
      </c>
      <c r="I34">
        <f>I$17*StdUH!$B16</f>
        <v>1219.1715849660779</v>
      </c>
      <c r="K34">
        <f t="shared" si="6"/>
        <v>3</v>
      </c>
      <c r="L34">
        <f t="shared" si="7"/>
        <v>352.03253067586786</v>
      </c>
      <c r="N34">
        <f>StdUH!$A16*O$16</f>
        <v>1.9276924939909919</v>
      </c>
      <c r="O34">
        <f>O$17*StdUH!$B16</f>
        <v>980.70828510931278</v>
      </c>
      <c r="Q34">
        <f t="shared" si="8"/>
        <v>3</v>
      </c>
      <c r="R34">
        <f t="shared" si="9"/>
        <v>368.54525328618593</v>
      </c>
    </row>
    <row r="35" spans="1:18">
      <c r="A35">
        <f>StdUH!$A17*B$16</f>
        <v>1.5769984094591185</v>
      </c>
      <c r="B35">
        <f>B$17*StdUH!$B17</f>
        <v>1029.3834098138211</v>
      </c>
      <c r="D35">
        <f t="shared" si="5"/>
        <v>3.25</v>
      </c>
      <c r="E35">
        <f t="shared" si="2"/>
        <v>113.865310777663</v>
      </c>
      <c r="H35">
        <f>StdUH!$A17*I$16</f>
        <v>1.9198478941461923</v>
      </c>
      <c r="I35">
        <f>I$17*StdUH!$B17</f>
        <v>1127.4059817965881</v>
      </c>
      <c r="K35">
        <f t="shared" si="6"/>
        <v>3.25</v>
      </c>
      <c r="L35">
        <f t="shared" si="7"/>
        <v>271.0905981797207</v>
      </c>
      <c r="N35">
        <f>StdUH!$A17*O$16</f>
        <v>2.0883335351569081</v>
      </c>
      <c r="O35">
        <f>O$17*StdUH!$B17</f>
        <v>906.89153246667627</v>
      </c>
      <c r="Q35">
        <f t="shared" si="8"/>
        <v>3.25</v>
      </c>
      <c r="R35">
        <f t="shared" si="9"/>
        <v>286.35874781939145</v>
      </c>
    </row>
    <row r="36" spans="1:18">
      <c r="A36">
        <f>StdUH!$A18*B$16</f>
        <v>1.6983059794175122</v>
      </c>
      <c r="B36">
        <f>B$17*StdUH!$B18</f>
        <v>933.6268135520703</v>
      </c>
      <c r="D36">
        <f t="shared" si="5"/>
        <v>3.5</v>
      </c>
      <c r="E36">
        <f t="shared" si="2"/>
        <v>80.944149259606831</v>
      </c>
      <c r="H36">
        <f>StdUH!$A18*I$16</f>
        <v>2.0675285013882072</v>
      </c>
      <c r="I36">
        <f>I$17*StdUH!$B18</f>
        <v>1022.5310067457427</v>
      </c>
      <c r="K36">
        <f t="shared" si="6"/>
        <v>3.5</v>
      </c>
      <c r="L36">
        <f t="shared" si="7"/>
        <v>204.5142948001963</v>
      </c>
      <c r="N36">
        <f>StdUH!$A18*O$16</f>
        <v>2.2489745763228237</v>
      </c>
      <c r="O36">
        <f>O$17*StdUH!$B18</f>
        <v>822.52952944652043</v>
      </c>
      <c r="Q36">
        <f t="shared" si="8"/>
        <v>3.5</v>
      </c>
      <c r="R36">
        <f t="shared" si="9"/>
        <v>226.45786010323167</v>
      </c>
    </row>
    <row r="37" spans="1:18">
      <c r="A37">
        <f>StdUH!$A19*B$16</f>
        <v>1.819613549375906</v>
      </c>
      <c r="B37">
        <f>B$17*StdUH!$B19</f>
        <v>813.93106822488187</v>
      </c>
      <c r="D37">
        <f t="shared" si="5"/>
        <v>3.75</v>
      </c>
      <c r="E37">
        <f t="shared" si="2"/>
        <v>57.635081051629449</v>
      </c>
      <c r="H37">
        <f>StdUH!$A19*I$16</f>
        <v>2.2152091086302219</v>
      </c>
      <c r="I37">
        <f>I$17*StdUH!$B19</f>
        <v>891.437287932186</v>
      </c>
      <c r="K37">
        <f t="shared" si="6"/>
        <v>3.75</v>
      </c>
      <c r="L37">
        <f t="shared" si="7"/>
        <v>156.19458316575742</v>
      </c>
      <c r="N37">
        <f>StdUH!$A19*O$16</f>
        <v>2.4096156174887398</v>
      </c>
      <c r="O37">
        <f>O$17*StdUH!$B19</f>
        <v>717.07702567132549</v>
      </c>
      <c r="Q37">
        <f t="shared" si="8"/>
        <v>3.75</v>
      </c>
      <c r="R37">
        <f t="shared" si="9"/>
        <v>175.76911260020279</v>
      </c>
    </row>
    <row r="38" spans="1:18">
      <c r="A38">
        <f>StdUH!$A20*B$16</f>
        <v>1.9409211193342999</v>
      </c>
      <c r="B38">
        <f>B$17*StdUH!$B20</f>
        <v>670.2961738322557</v>
      </c>
      <c r="D38">
        <f t="shared" si="5"/>
        <v>4</v>
      </c>
      <c r="E38">
        <f t="shared" si="2"/>
        <v>41.465969763830664</v>
      </c>
      <c r="H38">
        <f>StdUH!$A20*I$16</f>
        <v>2.3628897158722366</v>
      </c>
      <c r="I38">
        <f>I$17*StdUH!$B20</f>
        <v>734.12482535591789</v>
      </c>
      <c r="K38">
        <f t="shared" si="6"/>
        <v>4</v>
      </c>
      <c r="L38">
        <f t="shared" si="7"/>
        <v>118.92535546718233</v>
      </c>
      <c r="N38">
        <f>StdUH!$A20*O$16</f>
        <v>2.5702566586546562</v>
      </c>
      <c r="O38">
        <f>O$17*StdUH!$B20</f>
        <v>590.53402114109156</v>
      </c>
      <c r="Q38">
        <f t="shared" si="8"/>
        <v>4</v>
      </c>
      <c r="R38">
        <f t="shared" si="9"/>
        <v>136.02873102194798</v>
      </c>
    </row>
    <row r="39" spans="1:18">
      <c r="A39">
        <f>StdUH!$A21*B$16</f>
        <v>2.0622286892926933</v>
      </c>
      <c r="B39">
        <f>B$17*StdUH!$B21</f>
        <v>550.60042850506716</v>
      </c>
      <c r="D39">
        <f t="shared" si="5"/>
        <v>4.25</v>
      </c>
      <c r="E39">
        <f t="shared" si="2"/>
        <v>29.756785133986465</v>
      </c>
      <c r="H39">
        <f>StdUH!$A21*I$16</f>
        <v>2.5105703231142513</v>
      </c>
      <c r="I39">
        <f>I$17*StdUH!$B21</f>
        <v>603.03110654236116</v>
      </c>
      <c r="K39">
        <f t="shared" si="6"/>
        <v>4.25</v>
      </c>
      <c r="L39">
        <f t="shared" si="7"/>
        <v>89.718526366491787</v>
      </c>
      <c r="N39">
        <f>StdUH!$A21*O$16</f>
        <v>2.7308976998205718</v>
      </c>
      <c r="O39">
        <f>O$17*StdUH!$B21</f>
        <v>485.08151736589667</v>
      </c>
      <c r="Q39">
        <f t="shared" si="8"/>
        <v>4.25</v>
      </c>
      <c r="R39">
        <f t="shared" si="9"/>
        <v>105.61328985530106</v>
      </c>
    </row>
    <row r="40" spans="1:18">
      <c r="A40">
        <f>StdUH!$A22*B$16</f>
        <v>2.1835362592510874</v>
      </c>
      <c r="B40">
        <f>B$17*StdUH!$B22</f>
        <v>466.81340677603515</v>
      </c>
      <c r="D40">
        <f t="shared" si="5"/>
        <v>4.5</v>
      </c>
      <c r="E40">
        <f t="shared" si="2"/>
        <v>21.20126865711396</v>
      </c>
      <c r="H40">
        <f>StdUH!$A22*I$16</f>
        <v>2.6582509303562665</v>
      </c>
      <c r="I40">
        <f>I$17*StdUH!$B22</f>
        <v>511.26550337287136</v>
      </c>
      <c r="K40">
        <f t="shared" si="6"/>
        <v>4.5</v>
      </c>
      <c r="L40">
        <f t="shared" si="7"/>
        <v>67.469047470099383</v>
      </c>
      <c r="N40">
        <f>StdUH!$A22*O$16</f>
        <v>2.8915387409864879</v>
      </c>
      <c r="O40">
        <f>O$17*StdUH!$B22</f>
        <v>411.26476472326021</v>
      </c>
      <c r="Q40">
        <f t="shared" si="8"/>
        <v>4.5</v>
      </c>
      <c r="R40">
        <f t="shared" si="9"/>
        <v>81.050337676976071</v>
      </c>
    </row>
    <row r="41" spans="1:18">
      <c r="A41">
        <f>StdUH!$A23*B$16</f>
        <v>2.3048438292094811</v>
      </c>
      <c r="B41">
        <f>B$17*StdUH!$B23</f>
        <v>394.99595957972207</v>
      </c>
      <c r="D41">
        <f t="shared" si="5"/>
        <v>4.75</v>
      </c>
      <c r="E41">
        <f t="shared" si="2"/>
        <v>15.185401822399868</v>
      </c>
      <c r="H41">
        <f>StdUH!$A23*I$16</f>
        <v>2.8059315375982812</v>
      </c>
      <c r="I41">
        <f>I$17*StdUH!$B23</f>
        <v>432.60927208473731</v>
      </c>
      <c r="K41">
        <f t="shared" si="6"/>
        <v>4.75</v>
      </c>
      <c r="L41">
        <f t="shared" si="7"/>
        <v>51.25497586527279</v>
      </c>
      <c r="N41">
        <f>StdUH!$A23*O$16</f>
        <v>3.0521797821524039</v>
      </c>
      <c r="O41">
        <f>O$17*StdUH!$B23</f>
        <v>347.99326245814325</v>
      </c>
      <c r="Q41">
        <f t="shared" si="8"/>
        <v>4.75</v>
      </c>
      <c r="R41">
        <f t="shared" si="9"/>
        <v>62.998015351558053</v>
      </c>
    </row>
    <row r="42" spans="1:18">
      <c r="A42">
        <f>StdUH!$A24*B$16</f>
        <v>2.4261513991678747</v>
      </c>
      <c r="B42">
        <f>B$17*StdUH!$B24</f>
        <v>335.14808691612785</v>
      </c>
      <c r="D42">
        <f t="shared" si="5"/>
        <v>5</v>
      </c>
      <c r="E42">
        <f t="shared" si="2"/>
        <v>11.417715158614898</v>
      </c>
      <c r="H42">
        <f>StdUH!$A24*I$16</f>
        <v>2.9536121448402959</v>
      </c>
      <c r="I42">
        <f>I$17*StdUH!$B24</f>
        <v>367.06241267795895</v>
      </c>
      <c r="K42">
        <f t="shared" si="6"/>
        <v>5</v>
      </c>
      <c r="L42">
        <f t="shared" si="7"/>
        <v>39.049320245693323</v>
      </c>
      <c r="N42">
        <f>StdUH!$A24*O$16</f>
        <v>3.21282082331832</v>
      </c>
      <c r="O42">
        <f>O$17*StdUH!$B24</f>
        <v>295.26701057054578</v>
      </c>
      <c r="Q42">
        <f t="shared" si="8"/>
        <v>5</v>
      </c>
      <c r="R42">
        <f t="shared" si="9"/>
        <v>49.098978860300079</v>
      </c>
    </row>
    <row r="43" spans="1:18">
      <c r="A43">
        <f>StdUH!$A25*B$16</f>
        <v>2.6687665390846624</v>
      </c>
      <c r="B43">
        <f>B$17*StdUH!$B25</f>
        <v>247.7701928272802</v>
      </c>
      <c r="D43">
        <f t="shared" si="5"/>
        <v>5.25</v>
      </c>
      <c r="E43">
        <f t="shared" si="2"/>
        <v>8.4575764293935833</v>
      </c>
      <c r="H43">
        <f>StdUH!$A25*I$16</f>
        <v>3.2489733593243257</v>
      </c>
      <c r="I43">
        <f>I$17*StdUH!$B25</f>
        <v>271.36399794406248</v>
      </c>
      <c r="K43">
        <f t="shared" si="6"/>
        <v>5.25</v>
      </c>
      <c r="L43">
        <f t="shared" si="7"/>
        <v>29.890986579700495</v>
      </c>
      <c r="N43">
        <f>StdUH!$A25*O$16</f>
        <v>3.5341029056501521</v>
      </c>
      <c r="O43">
        <f>O$17*StdUH!$B25</f>
        <v>218.28668281465346</v>
      </c>
      <c r="Q43">
        <f t="shared" si="8"/>
        <v>5.25</v>
      </c>
      <c r="R43">
        <f t="shared" si="9"/>
        <v>38.228023737531849</v>
      </c>
    </row>
    <row r="44" spans="1:18">
      <c r="A44">
        <f>StdUH!$A26*B$16</f>
        <v>2.9113816790014497</v>
      </c>
      <c r="B44">
        <f>B$17*StdUH!$B26</f>
        <v>175.95274563096709</v>
      </c>
      <c r="D44">
        <f t="shared" si="5"/>
        <v>5.5</v>
      </c>
      <c r="E44">
        <f t="shared" si="2"/>
        <v>5.5786626278701261</v>
      </c>
      <c r="H44">
        <f>StdUH!$A26*I$16</f>
        <v>3.5443345738083551</v>
      </c>
      <c r="I44">
        <f>I$17*StdUH!$B26</f>
        <v>192.70776665592842</v>
      </c>
      <c r="K44">
        <f t="shared" si="6"/>
        <v>5.5</v>
      </c>
      <c r="L44">
        <f t="shared" si="7"/>
        <v>22.643029834534666</v>
      </c>
      <c r="N44">
        <f>StdUH!$A26*O$16</f>
        <v>3.8553849879819837</v>
      </c>
      <c r="O44">
        <f>O$17*StdUH!$B26</f>
        <v>155.01518054953652</v>
      </c>
      <c r="Q44">
        <f t="shared" si="8"/>
        <v>5.5</v>
      </c>
      <c r="R44">
        <f t="shared" si="9"/>
        <v>29.578052625727466</v>
      </c>
    </row>
    <row r="45" spans="1:18">
      <c r="A45">
        <f>StdUH!$A27*B$16</f>
        <v>3.153996818918237</v>
      </c>
      <c r="B45">
        <f>B$17*StdUH!$B27</f>
        <v>128.07444750009171</v>
      </c>
      <c r="D45">
        <f t="shared" si="5"/>
        <v>5.75</v>
      </c>
      <c r="E45">
        <f t="shared" si="2"/>
        <v>3.1118803535190298</v>
      </c>
      <c r="H45">
        <f>StdUH!$A27*I$16</f>
        <v>3.8396957882923846</v>
      </c>
      <c r="I45">
        <f>I$17*StdUH!$B27</f>
        <v>140.27027913050571</v>
      </c>
      <c r="K45">
        <f t="shared" si="6"/>
        <v>5.75</v>
      </c>
      <c r="L45">
        <f t="shared" si="7"/>
        <v>17.211618938399322</v>
      </c>
      <c r="N45">
        <f>StdUH!$A27*O$16</f>
        <v>4.1766670703138162</v>
      </c>
      <c r="O45">
        <f>O$17*StdUH!$B27</f>
        <v>112.83417903945856</v>
      </c>
      <c r="Q45">
        <f t="shared" si="8"/>
        <v>5.75</v>
      </c>
      <c r="R45">
        <f t="shared" si="9"/>
        <v>23.013571780120916</v>
      </c>
    </row>
    <row r="46" spans="1:18">
      <c r="A46">
        <f>StdUH!$A28*B$16</f>
        <v>3.3966119588350243</v>
      </c>
      <c r="B46">
        <f>B$17*StdUH!$B28</f>
        <v>92.165723901935138</v>
      </c>
      <c r="D46">
        <f t="shared" si="5"/>
        <v>6</v>
      </c>
      <c r="E46">
        <f t="shared" si="2"/>
        <v>0.6450980791679326</v>
      </c>
      <c r="H46">
        <f>StdUH!$A28*I$16</f>
        <v>4.1350570027764144</v>
      </c>
      <c r="I46">
        <f>I$17*StdUH!$B28</f>
        <v>100.9421634864387</v>
      </c>
      <c r="K46">
        <f t="shared" si="6"/>
        <v>6</v>
      </c>
      <c r="L46">
        <f t="shared" si="7"/>
        <v>13.432042855655116</v>
      </c>
      <c r="N46">
        <f>StdUH!$A28*O$16</f>
        <v>4.4979491526456474</v>
      </c>
      <c r="O46">
        <f>O$17*StdUH!$B28</f>
        <v>81.198427906900079</v>
      </c>
      <c r="Q46">
        <f t="shared" si="8"/>
        <v>6</v>
      </c>
      <c r="R46">
        <f t="shared" si="9"/>
        <v>17.873074649083506</v>
      </c>
    </row>
    <row r="47" spans="1:18">
      <c r="A47">
        <f>StdUH!$A29*B$16</f>
        <v>3.6392270987518121</v>
      </c>
      <c r="B47">
        <f>B$17*StdUH!$B29</f>
        <v>65.832659929953678</v>
      </c>
      <c r="D47">
        <f t="shared" si="5"/>
        <v>6.25</v>
      </c>
      <c r="E47">
        <f t="shared" si="2"/>
        <v>0</v>
      </c>
      <c r="H47">
        <f>StdUH!$A29*I$16</f>
        <v>4.4304182172604438</v>
      </c>
      <c r="I47">
        <f>I$17*StdUH!$B29</f>
        <v>72.101545347456224</v>
      </c>
      <c r="K47">
        <f t="shared" si="6"/>
        <v>6.25</v>
      </c>
      <c r="L47">
        <f t="shared" si="7"/>
        <v>10.768990720474143</v>
      </c>
      <c r="N47">
        <f>StdUH!$A29*O$16</f>
        <v>4.8192312349774795</v>
      </c>
      <c r="O47">
        <f>O$17*StdUH!$B29</f>
        <v>57.998877076357203</v>
      </c>
      <c r="Q47">
        <f t="shared" si="8"/>
        <v>6.25</v>
      </c>
      <c r="R47">
        <f t="shared" si="9"/>
        <v>13.905767865345474</v>
      </c>
    </row>
    <row r="48" spans="1:18">
      <c r="A48">
        <f>StdUH!$A30*B$16</f>
        <v>3.8818422386685998</v>
      </c>
      <c r="B48">
        <f>B$17*StdUH!$B30</f>
        <v>47.8782981308754</v>
      </c>
      <c r="H48">
        <f>StdUH!$A30*I$16</f>
        <v>4.7257794317444732</v>
      </c>
      <c r="I48">
        <f>I$17*StdUH!$B30</f>
        <v>52.437487525422704</v>
      </c>
      <c r="K48">
        <f t="shared" si="6"/>
        <v>6.5</v>
      </c>
      <c r="L48">
        <f t="shared" si="7"/>
        <v>8.1059385852931705</v>
      </c>
      <c r="N48">
        <f>StdUH!$A30*O$16</f>
        <v>5.1405133173093125</v>
      </c>
      <c r="O48">
        <f>O$17*StdUH!$B30</f>
        <v>42.181001510077969</v>
      </c>
      <c r="Q48">
        <f t="shared" si="8"/>
        <v>6.5</v>
      </c>
      <c r="R48">
        <f t="shared" si="9"/>
        <v>11.014026631633895</v>
      </c>
    </row>
    <row r="49" spans="1:18">
      <c r="A49">
        <f>StdUH!$A31*B$16</f>
        <v>4.1244573785853866</v>
      </c>
      <c r="B49">
        <f>B$17*StdUH!$B31</f>
        <v>34.71176614488467</v>
      </c>
      <c r="H49">
        <f>StdUH!$A31*I$16</f>
        <v>5.0211406462285026</v>
      </c>
      <c r="I49">
        <f>I$17*StdUH!$B31</f>
        <v>38.017178455931464</v>
      </c>
      <c r="K49">
        <f t="shared" si="6"/>
        <v>6.75</v>
      </c>
      <c r="L49">
        <f t="shared" si="7"/>
        <v>5.628186365206469</v>
      </c>
      <c r="N49">
        <f>StdUH!$A31*O$16</f>
        <v>5.4617953996411437</v>
      </c>
      <c r="O49">
        <f>O$17*StdUH!$B31</f>
        <v>30.581226094806528</v>
      </c>
      <c r="Q49">
        <f t="shared" si="8"/>
        <v>6.75</v>
      </c>
      <c r="R49">
        <f t="shared" si="9"/>
        <v>9.044682377951931</v>
      </c>
    </row>
    <row r="50" spans="1:18">
      <c r="A50">
        <f>StdUH!$A32*B$16</f>
        <v>4.3670725185021748</v>
      </c>
      <c r="B50">
        <f>B$17*StdUH!$B32</f>
        <v>25.136106518709585</v>
      </c>
      <c r="H50">
        <f>StdUH!$A32*I$16</f>
        <v>5.3165018607125329</v>
      </c>
      <c r="I50">
        <f>I$17*StdUH!$B32</f>
        <v>27.52968095084692</v>
      </c>
      <c r="K50">
        <f t="shared" si="6"/>
        <v>7</v>
      </c>
      <c r="L50">
        <f t="shared" si="7"/>
        <v>3.4089762525556582</v>
      </c>
      <c r="N50">
        <f>StdUH!$A32*O$16</f>
        <v>5.7830774819729758</v>
      </c>
      <c r="O50">
        <f>O$17*StdUH!$B32</f>
        <v>22.145025792790936</v>
      </c>
      <c r="Q50">
        <f t="shared" si="8"/>
        <v>7</v>
      </c>
      <c r="R50">
        <f t="shared" si="9"/>
        <v>7.0753381242699662</v>
      </c>
    </row>
    <row r="51" spans="1:18">
      <c r="A51">
        <f>StdUH!$A33*B$16</f>
        <v>4.6096876584189621</v>
      </c>
      <c r="B51">
        <f>B$17*StdUH!$B33</f>
        <v>17.954361799078274</v>
      </c>
      <c r="H51">
        <f>StdUH!$A33*I$16</f>
        <v>5.6118630751965624</v>
      </c>
      <c r="I51">
        <f>I$17*StdUH!$B33</f>
        <v>19.664057822033513</v>
      </c>
      <c r="K51">
        <f t="shared" si="6"/>
        <v>7.25</v>
      </c>
      <c r="L51">
        <f t="shared" si="7"/>
        <v>1.1897661399048465</v>
      </c>
      <c r="N51">
        <f>StdUH!$A33*O$16</f>
        <v>6.1043595643048079</v>
      </c>
      <c r="O51">
        <f>O$17*StdUH!$B33</f>
        <v>15.817875566279238</v>
      </c>
      <c r="Q51">
        <f t="shared" si="8"/>
        <v>7.25</v>
      </c>
      <c r="R51">
        <f t="shared" si="9"/>
        <v>5.1337657569499591</v>
      </c>
    </row>
    <row r="52" spans="1:18">
      <c r="A52">
        <f>StdUH!$A34*B$16</f>
        <v>4.8523027983357494</v>
      </c>
      <c r="B52">
        <f>B$17*StdUH!$B34</f>
        <v>13.166531985990735</v>
      </c>
      <c r="H52">
        <f>StdUH!$A34*I$16</f>
        <v>5.9072242896805918</v>
      </c>
      <c r="I52">
        <f>I$17*StdUH!$B34</f>
        <v>14.420309069491243</v>
      </c>
      <c r="K52">
        <f t="shared" si="6"/>
        <v>7.5</v>
      </c>
      <c r="L52">
        <f t="shared" si="7"/>
        <v>0</v>
      </c>
      <c r="N52">
        <f>StdUH!$A34*O$16</f>
        <v>6.4256416466366399</v>
      </c>
      <c r="O52">
        <f>O$17*StdUH!$B34</f>
        <v>11.59977541527144</v>
      </c>
      <c r="Q52">
        <f t="shared" si="8"/>
        <v>7.5</v>
      </c>
      <c r="R52">
        <f t="shared" si="9"/>
        <v>3.4926455455483216</v>
      </c>
    </row>
    <row r="53" spans="1:18">
      <c r="A53">
        <f>StdUH!$A35*B$16</f>
        <v>5.4588406481277181</v>
      </c>
      <c r="B53">
        <f>B$17*StdUH!$B35</f>
        <v>5.984787266359425</v>
      </c>
      <c r="H53">
        <f>StdUH!$A35*I$16</f>
        <v>6.6456273258906657</v>
      </c>
      <c r="I53">
        <f>I$17*StdUH!$B35</f>
        <v>6.5546859406778379</v>
      </c>
      <c r="N53">
        <f>StdUH!$A35*O$16</f>
        <v>7.2288468524662202</v>
      </c>
      <c r="O53">
        <f>O$17*StdUH!$B35</f>
        <v>5.2726251887597462</v>
      </c>
      <c r="Q53">
        <f t="shared" si="8"/>
        <v>7.75</v>
      </c>
      <c r="R53">
        <f t="shared" si="9"/>
        <v>1.8515253341466833</v>
      </c>
    </row>
    <row r="54" spans="1:18">
      <c r="A54">
        <f>StdUH!$A36*B$16</f>
        <v>6.0653784979196868</v>
      </c>
      <c r="B54">
        <f>B$17*StdUH!$B36</f>
        <v>0</v>
      </c>
      <c r="H54">
        <f>StdUH!$A36*I$16</f>
        <v>7.3840303621007397</v>
      </c>
      <c r="I54">
        <f>I$17*StdUH!$B36</f>
        <v>0</v>
      </c>
      <c r="N54">
        <f>StdUH!$A36*O$16</f>
        <v>8.0320520582958004</v>
      </c>
      <c r="O54">
        <f>O$17*StdUH!$B36</f>
        <v>0</v>
      </c>
      <c r="Q54">
        <f t="shared" si="8"/>
        <v>8</v>
      </c>
      <c r="R54">
        <f t="shared" si="9"/>
        <v>0.21040512274504586</v>
      </c>
    </row>
    <row r="55" spans="1:18">
      <c r="A55">
        <f>StdUH!$A37*B$16</f>
        <v>121.30756995839374</v>
      </c>
      <c r="B55">
        <f>B$17*StdUH!$B37</f>
        <v>0</v>
      </c>
      <c r="H55">
        <f>StdUH!$A37*I$16</f>
        <v>147.68060724201479</v>
      </c>
      <c r="I55">
        <f>I$17*StdUH!$B37</f>
        <v>0</v>
      </c>
      <c r="N55">
        <f>StdUH!$A37*O$16</f>
        <v>160.64104116591599</v>
      </c>
      <c r="O55">
        <f>O$17*StdUH!$B37</f>
        <v>0</v>
      </c>
      <c r="Q55">
        <f>Q54+$B$15</f>
        <v>8.25</v>
      </c>
      <c r="R55">
        <f t="shared" si="9"/>
        <v>0</v>
      </c>
    </row>
    <row r="93" spans="9:15">
      <c r="I93" s="5"/>
      <c r="O93" s="5"/>
    </row>
    <row r="94" spans="9:15">
      <c r="I94" s="3"/>
      <c r="O94" s="3"/>
    </row>
    <row r="95" spans="9:15">
      <c r="I95" s="3"/>
      <c r="O9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37"/>
  <sheetViews>
    <sheetView workbookViewId="0">
      <selection activeCell="C39" sqref="C39"/>
    </sheetView>
  </sheetViews>
  <sheetFormatPr defaultRowHeight="15"/>
  <cols>
    <col min="2" max="2" width="11.140625" customWidth="1"/>
  </cols>
  <sheetData>
    <row r="1" spans="1:2">
      <c r="A1" t="s">
        <v>25</v>
      </c>
    </row>
    <row r="2" spans="1:2" ht="30">
      <c r="A2" s="6" t="s">
        <v>21</v>
      </c>
      <c r="B2" s="6" t="s">
        <v>22</v>
      </c>
    </row>
    <row r="3" spans="1:2" ht="18">
      <c r="A3" s="7" t="s">
        <v>23</v>
      </c>
      <c r="B3" s="7" t="s">
        <v>24</v>
      </c>
    </row>
    <row r="4" spans="1:2">
      <c r="A4" s="8">
        <v>0</v>
      </c>
      <c r="B4" s="8">
        <v>0</v>
      </c>
    </row>
    <row r="5" spans="1:2">
      <c r="A5" s="8">
        <v>0.1</v>
      </c>
      <c r="B5" s="8">
        <v>0.03</v>
      </c>
    </row>
    <row r="6" spans="1:2">
      <c r="A6" s="8">
        <v>0.2</v>
      </c>
      <c r="B6" s="8">
        <v>0.1</v>
      </c>
    </row>
    <row r="7" spans="1:2">
      <c r="A7" s="8">
        <v>0.3</v>
      </c>
      <c r="B7" s="8">
        <v>0.19</v>
      </c>
    </row>
    <row r="8" spans="1:2">
      <c r="A8" s="8">
        <v>0.4</v>
      </c>
      <c r="B8" s="8">
        <v>0.31</v>
      </c>
    </row>
    <row r="9" spans="1:2">
      <c r="A9" s="8">
        <v>0.5</v>
      </c>
      <c r="B9" s="8">
        <v>0.47</v>
      </c>
    </row>
    <row r="10" spans="1:2">
      <c r="A10" s="8">
        <v>0.6</v>
      </c>
      <c r="B10" s="8">
        <v>0.66</v>
      </c>
    </row>
    <row r="11" spans="1:2">
      <c r="A11" s="8">
        <v>0.7</v>
      </c>
      <c r="B11" s="8">
        <v>0.82</v>
      </c>
    </row>
    <row r="12" spans="1:2">
      <c r="A12" s="8">
        <v>0.8</v>
      </c>
      <c r="B12" s="8">
        <v>0.93</v>
      </c>
    </row>
    <row r="13" spans="1:2">
      <c r="A13" s="8">
        <v>0.9</v>
      </c>
      <c r="B13" s="8">
        <v>0.99</v>
      </c>
    </row>
    <row r="14" spans="1:2">
      <c r="A14" s="8">
        <v>1</v>
      </c>
      <c r="B14" s="8">
        <v>1</v>
      </c>
    </row>
    <row r="15" spans="1:2">
      <c r="A15" s="8">
        <v>1.1000000000000001</v>
      </c>
      <c r="B15" s="8">
        <v>0.99</v>
      </c>
    </row>
    <row r="16" spans="1:2">
      <c r="A16" s="8">
        <v>1.2</v>
      </c>
      <c r="B16" s="8">
        <v>0.93</v>
      </c>
    </row>
    <row r="17" spans="1:2">
      <c r="A17" s="8">
        <v>1.3</v>
      </c>
      <c r="B17" s="8">
        <v>0.86</v>
      </c>
    </row>
    <row r="18" spans="1:2">
      <c r="A18" s="8">
        <v>1.4</v>
      </c>
      <c r="B18" s="8">
        <v>0.78</v>
      </c>
    </row>
    <row r="19" spans="1:2">
      <c r="A19" s="8">
        <v>1.5</v>
      </c>
      <c r="B19" s="8">
        <v>0.68</v>
      </c>
    </row>
    <row r="20" spans="1:2">
      <c r="A20" s="8">
        <v>1.6</v>
      </c>
      <c r="B20" s="8">
        <v>0.56000000000000005</v>
      </c>
    </row>
    <row r="21" spans="1:2">
      <c r="A21" s="8">
        <v>1.7</v>
      </c>
      <c r="B21" s="8">
        <v>0.46</v>
      </c>
    </row>
    <row r="22" spans="1:2">
      <c r="A22" s="8">
        <v>1.8</v>
      </c>
      <c r="B22" s="8">
        <v>0.39</v>
      </c>
    </row>
    <row r="23" spans="1:2">
      <c r="A23" s="8">
        <v>1.9</v>
      </c>
      <c r="B23" s="8">
        <v>0.33</v>
      </c>
    </row>
    <row r="24" spans="1:2">
      <c r="A24" s="8">
        <v>2</v>
      </c>
      <c r="B24" s="8">
        <v>0.28000000000000003</v>
      </c>
    </row>
    <row r="25" spans="1:2">
      <c r="A25" s="8">
        <v>2.2000000000000002</v>
      </c>
      <c r="B25" s="8">
        <v>0.20699999999999999</v>
      </c>
    </row>
    <row r="26" spans="1:2">
      <c r="A26" s="8">
        <v>2.4</v>
      </c>
      <c r="B26" s="8">
        <v>0.14699999999999999</v>
      </c>
    </row>
    <row r="27" spans="1:2">
      <c r="A27" s="8">
        <v>2.6</v>
      </c>
      <c r="B27" s="8">
        <v>0.107</v>
      </c>
    </row>
    <row r="28" spans="1:2">
      <c r="A28" s="8">
        <v>2.8</v>
      </c>
      <c r="B28" s="8">
        <v>7.6999999999999999E-2</v>
      </c>
    </row>
    <row r="29" spans="1:2">
      <c r="A29" s="8">
        <v>3</v>
      </c>
      <c r="B29" s="8">
        <v>5.5E-2</v>
      </c>
    </row>
    <row r="30" spans="1:2">
      <c r="A30" s="8">
        <v>3.2</v>
      </c>
      <c r="B30" s="8">
        <v>0.04</v>
      </c>
    </row>
    <row r="31" spans="1:2">
      <c r="A31" s="8">
        <v>3.4</v>
      </c>
      <c r="B31" s="8">
        <v>2.9000000000000001E-2</v>
      </c>
    </row>
    <row r="32" spans="1:2">
      <c r="A32" s="8">
        <v>3.6</v>
      </c>
      <c r="B32" s="8">
        <v>2.1000000000000001E-2</v>
      </c>
    </row>
    <row r="33" spans="1:2">
      <c r="A33" s="8">
        <v>3.8</v>
      </c>
      <c r="B33" s="8">
        <v>1.4999999999999999E-2</v>
      </c>
    </row>
    <row r="34" spans="1:2">
      <c r="A34" s="8">
        <v>4</v>
      </c>
      <c r="B34" s="8">
        <v>1.0999999999999999E-2</v>
      </c>
    </row>
    <row r="35" spans="1:2">
      <c r="A35" s="8">
        <v>4.5</v>
      </c>
      <c r="B35" s="8">
        <v>5.0000000000000001E-3</v>
      </c>
    </row>
    <row r="36" spans="1:2">
      <c r="A36" s="8">
        <v>5</v>
      </c>
      <c r="B36" s="8">
        <v>0</v>
      </c>
    </row>
    <row r="37" spans="1:2">
      <c r="A37" s="11">
        <v>100</v>
      </c>
      <c r="B37" s="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87"/>
  <sheetViews>
    <sheetView tabSelected="1" topLeftCell="A80" workbookViewId="0">
      <selection activeCell="M58" sqref="M58"/>
    </sheetView>
  </sheetViews>
  <sheetFormatPr defaultRowHeight="15"/>
  <cols>
    <col min="1" max="1" width="15.42578125" customWidth="1"/>
  </cols>
  <sheetData>
    <row r="1" spans="1:6">
      <c r="A1" t="s">
        <v>32</v>
      </c>
    </row>
    <row r="2" spans="1:6">
      <c r="A2" t="s">
        <v>33</v>
      </c>
      <c r="B2">
        <v>0.25</v>
      </c>
      <c r="C2">
        <v>0.5</v>
      </c>
      <c r="D2">
        <v>1</v>
      </c>
      <c r="E2">
        <v>2</v>
      </c>
      <c r="F2">
        <v>3</v>
      </c>
    </row>
    <row r="3" spans="1:6">
      <c r="A3" t="s">
        <v>60</v>
      </c>
      <c r="B3">
        <v>1.1399999999999999</v>
      </c>
      <c r="C3" s="14">
        <v>1.53</v>
      </c>
      <c r="D3" s="14">
        <v>1.9</v>
      </c>
      <c r="E3" s="14">
        <v>2.1800000000000002</v>
      </c>
      <c r="F3" s="14">
        <v>2.27</v>
      </c>
    </row>
    <row r="4" spans="1:6">
      <c r="C4" s="12"/>
      <c r="D4" s="12"/>
      <c r="E4" s="12"/>
      <c r="F4" s="12"/>
    </row>
    <row r="5" spans="1:6">
      <c r="C5" s="12"/>
      <c r="D5" s="12"/>
      <c r="E5" s="12"/>
      <c r="F5" s="12"/>
    </row>
    <row r="6" spans="1:6">
      <c r="D6" t="s">
        <v>49</v>
      </c>
      <c r="E6">
        <v>0.19795000000000001</v>
      </c>
      <c r="F6" t="s">
        <v>34</v>
      </c>
    </row>
    <row r="7" spans="1:6">
      <c r="A7" t="s">
        <v>26</v>
      </c>
      <c r="B7" t="s">
        <v>39</v>
      </c>
      <c r="C7" t="s">
        <v>37</v>
      </c>
    </row>
    <row r="8" spans="1:6">
      <c r="A8">
        <v>0.25</v>
      </c>
      <c r="B8">
        <f>(F3-E3)/4</f>
        <v>2.2499999999999964E-2</v>
      </c>
      <c r="C8">
        <f>B8</f>
        <v>2.2499999999999964E-2</v>
      </c>
      <c r="E8">
        <f>MAX(B8-$E$6,0)</f>
        <v>0</v>
      </c>
    </row>
    <row r="9" spans="1:6">
      <c r="A9">
        <f>A8+$B$2</f>
        <v>0.5</v>
      </c>
      <c r="B9">
        <f>B8</f>
        <v>2.2499999999999964E-2</v>
      </c>
      <c r="C9">
        <f>C8+B9</f>
        <v>4.4999999999999929E-2</v>
      </c>
      <c r="E9">
        <f t="shared" ref="E9:E19" si="0">MAX(B9-$E$6,0)</f>
        <v>0</v>
      </c>
    </row>
    <row r="10" spans="1:6">
      <c r="A10">
        <f t="shared" ref="A10:A19" si="1">A9+$B$2</f>
        <v>0.75</v>
      </c>
      <c r="B10">
        <f>(E3-D3)/4</f>
        <v>7.0000000000000062E-2</v>
      </c>
      <c r="C10">
        <f t="shared" ref="C10:C19" si="2">C9+B10</f>
        <v>0.11499999999999999</v>
      </c>
      <c r="E10">
        <f t="shared" si="0"/>
        <v>0</v>
      </c>
    </row>
    <row r="11" spans="1:6">
      <c r="A11">
        <f t="shared" si="1"/>
        <v>1</v>
      </c>
      <c r="B11">
        <f>B10</f>
        <v>7.0000000000000062E-2</v>
      </c>
      <c r="C11">
        <f t="shared" si="2"/>
        <v>0.18500000000000005</v>
      </c>
      <c r="E11">
        <f t="shared" si="0"/>
        <v>0</v>
      </c>
    </row>
    <row r="12" spans="1:6">
      <c r="A12">
        <f t="shared" si="1"/>
        <v>1.25</v>
      </c>
      <c r="B12">
        <f>B15</f>
        <v>0.18499999999999994</v>
      </c>
      <c r="C12">
        <f t="shared" si="2"/>
        <v>0.37</v>
      </c>
      <c r="E12">
        <f t="shared" si="0"/>
        <v>0</v>
      </c>
    </row>
    <row r="13" spans="1:6">
      <c r="A13">
        <f t="shared" si="1"/>
        <v>1.5</v>
      </c>
      <c r="B13">
        <f>C3-B3</f>
        <v>0.39000000000000012</v>
      </c>
      <c r="C13">
        <f t="shared" si="2"/>
        <v>0.76000000000000012</v>
      </c>
      <c r="E13">
        <f t="shared" si="0"/>
        <v>0.19205000000000011</v>
      </c>
    </row>
    <row r="14" spans="1:6">
      <c r="A14" s="10">
        <f t="shared" si="1"/>
        <v>1.75</v>
      </c>
      <c r="B14">
        <f>B3</f>
        <v>1.1399999999999999</v>
      </c>
      <c r="C14">
        <f t="shared" si="2"/>
        <v>1.9</v>
      </c>
      <c r="E14">
        <f t="shared" si="0"/>
        <v>0.94204999999999983</v>
      </c>
    </row>
    <row r="15" spans="1:6">
      <c r="A15">
        <f t="shared" si="1"/>
        <v>2</v>
      </c>
      <c r="B15">
        <f>(D3-C3)/2</f>
        <v>0.18499999999999994</v>
      </c>
      <c r="C15">
        <f t="shared" si="2"/>
        <v>2.085</v>
      </c>
      <c r="E15">
        <f t="shared" si="0"/>
        <v>0</v>
      </c>
    </row>
    <row r="16" spans="1:6">
      <c r="A16">
        <f t="shared" si="1"/>
        <v>2.25</v>
      </c>
      <c r="B16">
        <f>B11</f>
        <v>7.0000000000000062E-2</v>
      </c>
      <c r="C16">
        <f t="shared" si="2"/>
        <v>2.1550000000000002</v>
      </c>
      <c r="E16">
        <f t="shared" si="0"/>
        <v>0</v>
      </c>
    </row>
    <row r="17" spans="1:5">
      <c r="A17">
        <f t="shared" si="1"/>
        <v>2.5</v>
      </c>
      <c r="B17">
        <f>B16</f>
        <v>7.0000000000000062E-2</v>
      </c>
      <c r="C17">
        <f t="shared" si="2"/>
        <v>2.2250000000000005</v>
      </c>
      <c r="E17">
        <f t="shared" si="0"/>
        <v>0</v>
      </c>
    </row>
    <row r="18" spans="1:5">
      <c r="A18">
        <f t="shared" si="1"/>
        <v>2.75</v>
      </c>
      <c r="B18">
        <f>B9</f>
        <v>2.2499999999999964E-2</v>
      </c>
      <c r="C18">
        <f>C17+B18</f>
        <v>2.2475000000000005</v>
      </c>
      <c r="E18">
        <f t="shared" si="0"/>
        <v>0</v>
      </c>
    </row>
    <row r="19" spans="1:5">
      <c r="A19">
        <f t="shared" si="1"/>
        <v>3</v>
      </c>
      <c r="B19">
        <f>B18</f>
        <v>2.2499999999999964E-2</v>
      </c>
      <c r="C19">
        <f t="shared" si="2"/>
        <v>2.2700000000000005</v>
      </c>
      <c r="E19">
        <f t="shared" si="0"/>
        <v>0</v>
      </c>
    </row>
    <row r="21" spans="1:5">
      <c r="D21" t="s">
        <v>61</v>
      </c>
      <c r="E21">
        <f>SUM(E8:E19)</f>
        <v>1.1340999999999999</v>
      </c>
    </row>
    <row r="23" spans="1:5">
      <c r="A23" t="s">
        <v>40</v>
      </c>
      <c r="B23" t="s">
        <v>41</v>
      </c>
      <c r="C23" t="s">
        <v>31</v>
      </c>
      <c r="D23" t="s">
        <v>42</v>
      </c>
    </row>
    <row r="24" spans="1:5">
      <c r="A24" t="s">
        <v>12</v>
      </c>
      <c r="B24">
        <f>UnitHydrographs!B8</f>
        <v>4.2857142857142865</v>
      </c>
      <c r="C24" s="5">
        <f>UnitHydrographs!I8</f>
        <v>7.1526586620926267</v>
      </c>
      <c r="D24" s="5">
        <f>UnitHydrographs!O8</f>
        <v>1.4678899082568826</v>
      </c>
    </row>
    <row r="26" spans="1:5">
      <c r="A26" t="s">
        <v>35</v>
      </c>
      <c r="B26">
        <f>F3</f>
        <v>2.27</v>
      </c>
      <c r="C26">
        <f>B26</f>
        <v>2.27</v>
      </c>
      <c r="D26">
        <f>C26</f>
        <v>2.27</v>
      </c>
      <c r="E26" t="s">
        <v>34</v>
      </c>
    </row>
    <row r="27" spans="1:5">
      <c r="A27" t="s">
        <v>36</v>
      </c>
      <c r="B27">
        <f>0.2*B24</f>
        <v>0.85714285714285732</v>
      </c>
      <c r="C27" s="3">
        <f t="shared" ref="C27:D27" si="3">0.2*C24</f>
        <v>1.4305317324185254</v>
      </c>
      <c r="D27" s="3">
        <f t="shared" si="3"/>
        <v>0.29357798165137655</v>
      </c>
      <c r="E27" t="s">
        <v>34</v>
      </c>
    </row>
    <row r="28" spans="1:5">
      <c r="A28" t="s">
        <v>27</v>
      </c>
      <c r="B28" s="3">
        <f>(B26-0.2*B24)^2/(B26+0.8*B24)</f>
        <v>0.35029223221000605</v>
      </c>
      <c r="C28" s="3">
        <f>(C26-0.2*C24)^2/(C26+0.8*C24)</f>
        <v>8.8175147676862339E-2</v>
      </c>
      <c r="D28" s="3">
        <f>(D26-0.2*D24)^2/(D26+0.8*D24)</f>
        <v>1.1341144698421641</v>
      </c>
      <c r="E28" t="s">
        <v>34</v>
      </c>
    </row>
    <row r="29" spans="1:5">
      <c r="A29" t="s">
        <v>38</v>
      </c>
      <c r="B29" s="3">
        <f>B26-B28-B27</f>
        <v>1.0625649106471369</v>
      </c>
      <c r="C29" s="3">
        <f t="shared" ref="C29:D29" si="4">C26-C28-C27</f>
        <v>0.75129311990461223</v>
      </c>
      <c r="D29" s="3">
        <f t="shared" si="4"/>
        <v>0.84230754850645928</v>
      </c>
      <c r="E29" t="s">
        <v>34</v>
      </c>
    </row>
    <row r="31" spans="1:5">
      <c r="A31" t="s">
        <v>43</v>
      </c>
    </row>
    <row r="32" spans="1:5">
      <c r="A32" t="s">
        <v>26</v>
      </c>
      <c r="B32" t="s">
        <v>41</v>
      </c>
      <c r="C32" t="s">
        <v>31</v>
      </c>
      <c r="D32" t="s">
        <v>42</v>
      </c>
    </row>
    <row r="33" spans="1:12">
      <c r="A33">
        <v>0.25</v>
      </c>
      <c r="B33">
        <v>0</v>
      </c>
      <c r="C33">
        <v>0</v>
      </c>
      <c r="D33">
        <v>0</v>
      </c>
    </row>
    <row r="34" spans="1:12">
      <c r="A34">
        <f>A33+$B$2</f>
        <v>0.5</v>
      </c>
      <c r="B34">
        <v>0</v>
      </c>
      <c r="C34">
        <v>0</v>
      </c>
      <c r="D34">
        <v>0</v>
      </c>
    </row>
    <row r="35" spans="1:12">
      <c r="A35">
        <f t="shared" ref="A35:A44" si="5">A34+$B$2</f>
        <v>0.75</v>
      </c>
      <c r="B35">
        <v>0</v>
      </c>
      <c r="C35">
        <v>0</v>
      </c>
      <c r="D35">
        <v>0</v>
      </c>
    </row>
    <row r="36" spans="1:12">
      <c r="A36">
        <f t="shared" si="5"/>
        <v>1</v>
      </c>
      <c r="B36">
        <v>0</v>
      </c>
      <c r="C36">
        <v>0</v>
      </c>
      <c r="D36">
        <v>0</v>
      </c>
    </row>
    <row r="37" spans="1:12">
      <c r="A37">
        <f t="shared" si="5"/>
        <v>1.25</v>
      </c>
      <c r="B37">
        <v>0</v>
      </c>
      <c r="C37">
        <v>0</v>
      </c>
      <c r="D37">
        <v>0</v>
      </c>
    </row>
    <row r="38" spans="1:12">
      <c r="A38">
        <f t="shared" si="5"/>
        <v>1.5</v>
      </c>
      <c r="B38">
        <v>0</v>
      </c>
      <c r="C38">
        <v>0</v>
      </c>
      <c r="D38">
        <v>0.19205000000000011</v>
      </c>
    </row>
    <row r="39" spans="1:12">
      <c r="A39" s="10">
        <f t="shared" si="5"/>
        <v>1.75</v>
      </c>
      <c r="B39" s="3">
        <v>0.35029900000000003</v>
      </c>
      <c r="C39" s="3">
        <v>8.8200000000000056E-2</v>
      </c>
      <c r="D39" s="3">
        <v>0.94204999999999983</v>
      </c>
    </row>
    <row r="40" spans="1:12">
      <c r="A40">
        <f t="shared" si="5"/>
        <v>2</v>
      </c>
      <c r="B40">
        <v>0</v>
      </c>
      <c r="C40">
        <v>0</v>
      </c>
      <c r="D40">
        <v>0</v>
      </c>
    </row>
    <row r="41" spans="1:12">
      <c r="A41">
        <f t="shared" si="5"/>
        <v>2.25</v>
      </c>
      <c r="B41">
        <v>0</v>
      </c>
      <c r="C41">
        <v>0</v>
      </c>
      <c r="D41">
        <v>0</v>
      </c>
    </row>
    <row r="42" spans="1:12">
      <c r="A42">
        <f t="shared" si="5"/>
        <v>2.5</v>
      </c>
      <c r="B42">
        <v>0</v>
      </c>
      <c r="C42">
        <v>0</v>
      </c>
      <c r="D42">
        <v>0</v>
      </c>
    </row>
    <row r="43" spans="1:12">
      <c r="A43">
        <f t="shared" si="5"/>
        <v>2.75</v>
      </c>
      <c r="B43">
        <v>0</v>
      </c>
      <c r="C43">
        <v>0</v>
      </c>
      <c r="D43">
        <v>0</v>
      </c>
    </row>
    <row r="44" spans="1:12">
      <c r="A44">
        <f t="shared" si="5"/>
        <v>3</v>
      </c>
      <c r="B44">
        <v>0</v>
      </c>
      <c r="C44">
        <v>0</v>
      </c>
      <c r="D44">
        <v>0</v>
      </c>
    </row>
    <row r="47" spans="1:12">
      <c r="A47" t="s">
        <v>44</v>
      </c>
      <c r="C47" t="s">
        <v>35</v>
      </c>
      <c r="F47" t="s">
        <v>35</v>
      </c>
      <c r="I47" t="s">
        <v>35</v>
      </c>
    </row>
    <row r="48" spans="1:12">
      <c r="C48" s="3">
        <f>B39</f>
        <v>0.35029900000000003</v>
      </c>
      <c r="F48" s="3">
        <f>C39</f>
        <v>8.8200000000000056E-2</v>
      </c>
      <c r="G48" s="3"/>
      <c r="H48" s="3"/>
      <c r="I48">
        <f>D38</f>
        <v>0.19205000000000011</v>
      </c>
      <c r="J48" s="3">
        <f>D39</f>
        <v>0.94204999999999983</v>
      </c>
      <c r="L48" s="13" t="s">
        <v>55</v>
      </c>
    </row>
    <row r="49" spans="1:13">
      <c r="A49" t="s">
        <v>26</v>
      </c>
      <c r="B49" t="s">
        <v>50</v>
      </c>
      <c r="C49" t="s">
        <v>54</v>
      </c>
      <c r="E49" t="s">
        <v>45</v>
      </c>
      <c r="F49" t="s">
        <v>46</v>
      </c>
      <c r="H49" t="s">
        <v>47</v>
      </c>
      <c r="I49" t="s">
        <v>48</v>
      </c>
      <c r="M49" t="s">
        <v>56</v>
      </c>
    </row>
    <row r="50" spans="1:13">
      <c r="A50">
        <v>1.5</v>
      </c>
      <c r="B50">
        <f>UnitHydrographs!E22</f>
        <v>0</v>
      </c>
      <c r="E50">
        <f>UnitHydrographs!L22</f>
        <v>0</v>
      </c>
      <c r="H50">
        <f>UnitHydrographs!R22</f>
        <v>0</v>
      </c>
      <c r="I50">
        <f>H50*$I$48</f>
        <v>0</v>
      </c>
      <c r="M50">
        <f>I50+J50+L50</f>
        <v>0</v>
      </c>
    </row>
    <row r="51" spans="1:13">
      <c r="A51">
        <f>A50+0.25</f>
        <v>1.75</v>
      </c>
      <c r="B51">
        <f>UnitHydrographs!E23</f>
        <v>126.25380842984788</v>
      </c>
      <c r="C51">
        <f>$C$48*B50</f>
        <v>0</v>
      </c>
      <c r="E51">
        <f>UnitHydrographs!L23</f>
        <v>102.9072203601341</v>
      </c>
      <c r="F51">
        <f>E50*$F$48</f>
        <v>0</v>
      </c>
      <c r="H51">
        <f>UnitHydrographs!R23</f>
        <v>72.697413288036699</v>
      </c>
      <c r="I51">
        <f t="shared" ref="I51:I83" si="6">H51*$I$48</f>
        <v>13.961538221967457</v>
      </c>
      <c r="J51">
        <f>H50*$J$48</f>
        <v>0</v>
      </c>
      <c r="L51" s="13"/>
      <c r="M51">
        <f t="shared" ref="M51:M87" si="7">I51+J51+L51</f>
        <v>13.961538221967457</v>
      </c>
    </row>
    <row r="52" spans="1:13">
      <c r="A52">
        <f t="shared" ref="A52:A76" si="8">A51+0.25</f>
        <v>2</v>
      </c>
      <c r="B52">
        <f>UnitHydrographs!E24</f>
        <v>394.37436821262878</v>
      </c>
      <c r="C52">
        <f t="shared" ref="C52:C75" si="9">$C$48*B51</f>
        <v>44.226582839167285</v>
      </c>
      <c r="E52">
        <f>UnitHydrographs!L24</f>
        <v>309.75110505314825</v>
      </c>
      <c r="F52">
        <f t="shared" ref="F52:F81" si="10">E51*$F$48</f>
        <v>9.0764168357638333</v>
      </c>
      <c r="H52">
        <f>UnitHydrographs!R24</f>
        <v>214.5995943185618</v>
      </c>
      <c r="I52">
        <f t="shared" si="6"/>
        <v>41.213852088879818</v>
      </c>
      <c r="J52">
        <f t="shared" ref="J52:J83" si="11">H51*$J$48</f>
        <v>68.484598187994962</v>
      </c>
      <c r="L52" s="13"/>
      <c r="M52">
        <f t="shared" si="7"/>
        <v>109.69845027687478</v>
      </c>
    </row>
    <row r="53" spans="1:13">
      <c r="A53">
        <f t="shared" si="8"/>
        <v>2.25</v>
      </c>
      <c r="B53">
        <f>UnitHydrographs!E25</f>
        <v>824.9682557069608</v>
      </c>
      <c r="C53">
        <f t="shared" si="9"/>
        <v>138.14894681051567</v>
      </c>
      <c r="E53">
        <f>UnitHydrographs!L25</f>
        <v>635.69991390589007</v>
      </c>
      <c r="F53">
        <f t="shared" si="10"/>
        <v>27.320047465687693</v>
      </c>
      <c r="H53">
        <f>UnitHydrographs!R25</f>
        <v>439.74443901464298</v>
      </c>
      <c r="I53">
        <f t="shared" si="6"/>
        <v>84.452919512762236</v>
      </c>
      <c r="J53">
        <f t="shared" si="11"/>
        <v>202.1635478278011</v>
      </c>
      <c r="L53" s="13"/>
      <c r="M53">
        <f t="shared" si="7"/>
        <v>286.6164673405633</v>
      </c>
    </row>
    <row r="54" spans="1:13">
      <c r="A54">
        <f t="shared" si="8"/>
        <v>2.5</v>
      </c>
      <c r="B54">
        <f>UnitHydrographs!E26</f>
        <v>1130.6585998166115</v>
      </c>
      <c r="C54">
        <f t="shared" si="9"/>
        <v>288.98555500589271</v>
      </c>
      <c r="E54">
        <f>UnitHydrographs!L26</f>
        <v>1027.0133156558491</v>
      </c>
      <c r="F54">
        <f t="shared" si="10"/>
        <v>56.068732406499542</v>
      </c>
      <c r="H54">
        <f>UnitHydrographs!R26</f>
        <v>733.95942397146371</v>
      </c>
      <c r="I54">
        <f t="shared" si="6"/>
        <v>140.95690737371967</v>
      </c>
      <c r="J54">
        <f t="shared" si="11"/>
        <v>414.26124877374434</v>
      </c>
      <c r="L54" s="13">
        <f>C51+F51</f>
        <v>0</v>
      </c>
      <c r="M54">
        <f t="shared" si="7"/>
        <v>555.21815614746401</v>
      </c>
    </row>
    <row r="55" spans="1:13">
      <c r="A55">
        <f t="shared" si="8"/>
        <v>2.75</v>
      </c>
      <c r="B55">
        <f>UnitHydrographs!E27</f>
        <v>1193.3140848815187</v>
      </c>
      <c r="C55">
        <f t="shared" si="9"/>
        <v>396.0685768571592</v>
      </c>
      <c r="E55">
        <f>UnitHydrographs!L27</f>
        <v>1255.684768456249</v>
      </c>
      <c r="F55">
        <f t="shared" si="10"/>
        <v>90.582574440845946</v>
      </c>
      <c r="H55">
        <f>UnitHydrographs!R27</f>
        <v>955.34236815849829</v>
      </c>
      <c r="I55">
        <f t="shared" si="6"/>
        <v>183.47350180483971</v>
      </c>
      <c r="J55">
        <f t="shared" si="11"/>
        <v>691.42647535231731</v>
      </c>
      <c r="L55" s="13">
        <f t="shared" ref="L55:L87" si="12">C52+F52</f>
        <v>53.302999674931115</v>
      </c>
      <c r="M55">
        <f t="shared" si="7"/>
        <v>928.20297683208821</v>
      </c>
    </row>
    <row r="56" spans="1:13">
      <c r="A56">
        <f t="shared" si="8"/>
        <v>3</v>
      </c>
      <c r="B56">
        <f>UnitHydrographs!E28</f>
        <v>1082.5661370637758</v>
      </c>
      <c r="C56">
        <f t="shared" si="9"/>
        <v>418.01673061991119</v>
      </c>
      <c r="E56">
        <f>UnitHydrographs!L28</f>
        <v>1308.8783001900756</v>
      </c>
      <c r="F56">
        <f t="shared" si="10"/>
        <v>110.75139657784123</v>
      </c>
      <c r="H56">
        <f>UnitHydrographs!R28</f>
        <v>1047.5397466608524</v>
      </c>
      <c r="I56">
        <f t="shared" si="6"/>
        <v>201.18000834621682</v>
      </c>
      <c r="J56">
        <f t="shared" si="11"/>
        <v>899.98027792371317</v>
      </c>
      <c r="L56" s="13">
        <f t="shared" si="12"/>
        <v>165.46899427620338</v>
      </c>
      <c r="M56">
        <f t="shared" si="7"/>
        <v>1266.6292805461335</v>
      </c>
    </row>
    <row r="57" spans="1:13">
      <c r="A57">
        <f t="shared" si="8"/>
        <v>3.25</v>
      </c>
      <c r="B57">
        <f>UnitHydrographs!E29</f>
        <v>882.61965608694163</v>
      </c>
      <c r="C57">
        <f t="shared" si="9"/>
        <v>379.22183524730366</v>
      </c>
      <c r="E57">
        <f>UnitHydrographs!L29</f>
        <v>1230.9781131103459</v>
      </c>
      <c r="F57">
        <f t="shared" si="10"/>
        <v>115.44306607676474</v>
      </c>
      <c r="H57">
        <f>UnitHydrographs!R29</f>
        <v>1045.0991267290294</v>
      </c>
      <c r="I57">
        <f t="shared" si="6"/>
        <v>200.71128728831022</v>
      </c>
      <c r="J57">
        <f t="shared" si="11"/>
        <v>986.83481834185579</v>
      </c>
      <c r="L57" s="13">
        <f t="shared" si="12"/>
        <v>345.05428741239223</v>
      </c>
      <c r="M57">
        <f t="shared" si="7"/>
        <v>1532.6003930425582</v>
      </c>
    </row>
    <row r="58" spans="1:13">
      <c r="A58">
        <f t="shared" si="8"/>
        <v>3.5</v>
      </c>
      <c r="B58">
        <f>UnitHydrographs!E30</f>
        <v>612.00227958639448</v>
      </c>
      <c r="C58">
        <f t="shared" si="9"/>
        <v>309.18078290759956</v>
      </c>
      <c r="E58">
        <f>UnitHydrographs!L30</f>
        <v>1070.4861853610591</v>
      </c>
      <c r="F58">
        <f t="shared" si="10"/>
        <v>108.57226957633257</v>
      </c>
      <c r="H58">
        <f>UnitHydrographs!R30</f>
        <v>947.48199843603277</v>
      </c>
      <c r="I58">
        <f t="shared" si="6"/>
        <v>181.9639177996402</v>
      </c>
      <c r="J58">
        <f t="shared" si="11"/>
        <v>984.53563233508203</v>
      </c>
      <c r="L58" s="13">
        <f t="shared" si="12"/>
        <v>486.65115129800517</v>
      </c>
      <c r="M58" s="10">
        <f t="shared" si="7"/>
        <v>1653.1507014327276</v>
      </c>
    </row>
    <row r="59" spans="1:13">
      <c r="A59">
        <f t="shared" si="8"/>
        <v>3.75</v>
      </c>
      <c r="B59">
        <f>UnitHydrographs!E31</f>
        <v>427.46502816007893</v>
      </c>
      <c r="C59">
        <f t="shared" si="9"/>
        <v>214.38378653683441</v>
      </c>
      <c r="E59">
        <f>UnitHydrographs!L31</f>
        <v>854.37730491333127</v>
      </c>
      <c r="F59">
        <f t="shared" si="10"/>
        <v>94.416881548845481</v>
      </c>
      <c r="H59">
        <f>UnitHydrographs!R31</f>
        <v>821.85639203777487</v>
      </c>
      <c r="I59">
        <f t="shared" si="6"/>
        <v>157.83752009085475</v>
      </c>
      <c r="J59">
        <f t="shared" si="11"/>
        <v>892.57541662666449</v>
      </c>
      <c r="L59" s="13">
        <f t="shared" si="12"/>
        <v>528.76812719775239</v>
      </c>
      <c r="M59">
        <f t="shared" si="7"/>
        <v>1579.1810639152716</v>
      </c>
    </row>
    <row r="60" spans="1:13">
      <c r="A60">
        <f t="shared" si="8"/>
        <v>4</v>
      </c>
      <c r="B60">
        <f>UnitHydrographs!E32</f>
        <v>308.55149766645366</v>
      </c>
      <c r="C60">
        <f t="shared" si="9"/>
        <v>149.7405718994475</v>
      </c>
      <c r="E60">
        <f>UnitHydrographs!L32</f>
        <v>612.41421372201444</v>
      </c>
      <c r="F60">
        <f t="shared" si="10"/>
        <v>75.356078293355864</v>
      </c>
      <c r="H60">
        <f>UnitHydrographs!R32</f>
        <v>645.87783994286849</v>
      </c>
      <c r="I60">
        <f t="shared" si="6"/>
        <v>124.04083916102796</v>
      </c>
      <c r="J60">
        <f t="shared" si="11"/>
        <v>774.22981411918568</v>
      </c>
      <c r="L60" s="13">
        <f t="shared" si="12"/>
        <v>494.66490132406841</v>
      </c>
      <c r="M60">
        <f t="shared" si="7"/>
        <v>1392.9355546042821</v>
      </c>
    </row>
    <row r="61" spans="1:13">
      <c r="A61">
        <f t="shared" si="8"/>
        <v>4.25</v>
      </c>
      <c r="B61">
        <f>UnitHydrographs!E33</f>
        <v>223.7239614508625</v>
      </c>
      <c r="C61">
        <f t="shared" si="9"/>
        <v>108.08528108106105</v>
      </c>
      <c r="E61">
        <f>UnitHydrographs!L33</f>
        <v>462.39899220974883</v>
      </c>
      <c r="F61">
        <f t="shared" si="10"/>
        <v>54.014933650281705</v>
      </c>
      <c r="H61">
        <f>UnitHydrographs!R33</f>
        <v>476.3037495114549</v>
      </c>
      <c r="I61">
        <f t="shared" si="6"/>
        <v>91.47413509367496</v>
      </c>
      <c r="J61">
        <f t="shared" si="11"/>
        <v>608.44921911817914</v>
      </c>
      <c r="L61" s="13">
        <f t="shared" si="12"/>
        <v>417.75305248393215</v>
      </c>
      <c r="M61">
        <f t="shared" si="7"/>
        <v>1117.6764066957862</v>
      </c>
    </row>
    <row r="62" spans="1:13">
      <c r="A62">
        <f t="shared" si="8"/>
        <v>4.5</v>
      </c>
      <c r="B62">
        <f>UnitHydrographs!E34</f>
        <v>158.46457735720873</v>
      </c>
      <c r="C62">
        <f t="shared" si="9"/>
        <v>78.370279972275696</v>
      </c>
      <c r="E62">
        <f>UnitHydrographs!L34</f>
        <v>352.03253067586786</v>
      </c>
      <c r="F62">
        <f t="shared" si="10"/>
        <v>40.78359111289987</v>
      </c>
      <c r="H62">
        <f>UnitHydrographs!R34</f>
        <v>368.54525328618593</v>
      </c>
      <c r="I62">
        <f t="shared" si="6"/>
        <v>70.779115893612044</v>
      </c>
      <c r="J62">
        <f t="shared" si="11"/>
        <v>448.70194722726603</v>
      </c>
      <c r="L62" s="13">
        <f t="shared" si="12"/>
        <v>308.80066808567989</v>
      </c>
      <c r="M62">
        <f t="shared" si="7"/>
        <v>828.28173120655788</v>
      </c>
    </row>
    <row r="63" spans="1:13">
      <c r="A63">
        <f t="shared" si="8"/>
        <v>4.75</v>
      </c>
      <c r="B63">
        <f>UnitHydrographs!E35</f>
        <v>113.865310777663</v>
      </c>
      <c r="C63">
        <f t="shared" si="9"/>
        <v>55.509982983652861</v>
      </c>
      <c r="E63">
        <f>UnitHydrographs!L35</f>
        <v>271.0905981797207</v>
      </c>
      <c r="F63">
        <f t="shared" si="10"/>
        <v>31.049269205611566</v>
      </c>
      <c r="H63">
        <f>UnitHydrographs!R35</f>
        <v>286.35874781939145</v>
      </c>
      <c r="I63">
        <f t="shared" si="6"/>
        <v>54.995197518714157</v>
      </c>
      <c r="J63">
        <f t="shared" si="11"/>
        <v>347.1880558582514</v>
      </c>
      <c r="L63" s="13">
        <f t="shared" si="12"/>
        <v>225.09665019280337</v>
      </c>
      <c r="M63">
        <f t="shared" si="7"/>
        <v>627.27990356976898</v>
      </c>
    </row>
    <row r="64" spans="1:13">
      <c r="A64">
        <f t="shared" si="8"/>
        <v>5</v>
      </c>
      <c r="B64">
        <f>UnitHydrographs!E36</f>
        <v>80.944149259606831</v>
      </c>
      <c r="C64">
        <f t="shared" si="9"/>
        <v>39.886904500104571</v>
      </c>
      <c r="E64">
        <f>UnitHydrographs!L36</f>
        <v>204.5142948001963</v>
      </c>
      <c r="F64">
        <f t="shared" si="10"/>
        <v>23.910190759451382</v>
      </c>
      <c r="H64">
        <f>UnitHydrographs!R36</f>
        <v>226.45786010323167</v>
      </c>
      <c r="I64">
        <f t="shared" si="6"/>
        <v>43.491232032825664</v>
      </c>
      <c r="J64">
        <f t="shared" si="11"/>
        <v>269.7642583832577</v>
      </c>
      <c r="L64" s="13">
        <f t="shared" si="12"/>
        <v>162.10021473134276</v>
      </c>
      <c r="M64">
        <f t="shared" si="7"/>
        <v>475.35570514742614</v>
      </c>
    </row>
    <row r="65" spans="1:13">
      <c r="A65">
        <f t="shared" si="8"/>
        <v>5.25</v>
      </c>
      <c r="B65">
        <f>UnitHydrographs!E37</f>
        <v>57.635081051629449</v>
      </c>
      <c r="C65">
        <f t="shared" si="9"/>
        <v>28.354654541491016</v>
      </c>
      <c r="E65">
        <f>UnitHydrographs!L37</f>
        <v>156.19458316575742</v>
      </c>
      <c r="F65">
        <f t="shared" si="10"/>
        <v>18.038160801377323</v>
      </c>
      <c r="H65">
        <f>UnitHydrographs!R37</f>
        <v>175.76911260020279</v>
      </c>
      <c r="I65">
        <f t="shared" si="6"/>
        <v>33.756458074868966</v>
      </c>
      <c r="J65">
        <f t="shared" si="11"/>
        <v>213.33462711024936</v>
      </c>
      <c r="L65" s="13">
        <f t="shared" si="12"/>
        <v>119.15387108517557</v>
      </c>
      <c r="M65">
        <f t="shared" si="7"/>
        <v>366.24495627029387</v>
      </c>
    </row>
    <row r="66" spans="1:13">
      <c r="A66">
        <f t="shared" si="8"/>
        <v>5.5</v>
      </c>
      <c r="B66">
        <f>UnitHydrographs!E38</f>
        <v>41.465969763830664</v>
      </c>
      <c r="C66">
        <f t="shared" si="9"/>
        <v>20.189511257304744</v>
      </c>
      <c r="E66">
        <f>UnitHydrographs!L38</f>
        <v>118.92535546718233</v>
      </c>
      <c r="F66">
        <f t="shared" si="10"/>
        <v>13.776362235219814</v>
      </c>
      <c r="H66">
        <f>UnitHydrographs!R38</f>
        <v>136.02873102194798</v>
      </c>
      <c r="I66">
        <f t="shared" si="6"/>
        <v>26.124317792765122</v>
      </c>
      <c r="J66">
        <f t="shared" si="11"/>
        <v>165.58329252502099</v>
      </c>
      <c r="L66" s="13">
        <f t="shared" si="12"/>
        <v>86.559252189264427</v>
      </c>
      <c r="M66">
        <f t="shared" si="7"/>
        <v>278.26686250705052</v>
      </c>
    </row>
    <row r="67" spans="1:13">
      <c r="A67">
        <f t="shared" si="8"/>
        <v>5.75</v>
      </c>
      <c r="B67">
        <f>UnitHydrographs!E39</f>
        <v>29.756785133986465</v>
      </c>
      <c r="C67">
        <f t="shared" si="9"/>
        <v>14.525487742300118</v>
      </c>
      <c r="E67">
        <f>UnitHydrographs!L39</f>
        <v>89.718526366491787</v>
      </c>
      <c r="F67">
        <f t="shared" si="10"/>
        <v>10.489216352205489</v>
      </c>
      <c r="H67">
        <f>UnitHydrographs!R39</f>
        <v>105.61328985530106</v>
      </c>
      <c r="I67">
        <f t="shared" si="6"/>
        <v>20.283032316710582</v>
      </c>
      <c r="J67">
        <f t="shared" si="11"/>
        <v>128.14586605922608</v>
      </c>
      <c r="L67" s="13">
        <f t="shared" si="12"/>
        <v>63.797095259555952</v>
      </c>
      <c r="M67">
        <f t="shared" si="7"/>
        <v>212.22599363549261</v>
      </c>
    </row>
    <row r="68" spans="1:13">
      <c r="A68">
        <f t="shared" si="8"/>
        <v>6</v>
      </c>
      <c r="B68">
        <f>UnitHydrographs!E40</f>
        <v>21.20126865711396</v>
      </c>
      <c r="C68">
        <f t="shared" si="9"/>
        <v>10.423772075650326</v>
      </c>
      <c r="E68">
        <f>UnitHydrographs!L40</f>
        <v>67.469047470099383</v>
      </c>
      <c r="F68">
        <f t="shared" si="10"/>
        <v>7.9131740255245804</v>
      </c>
      <c r="H68">
        <f>UnitHydrographs!R40</f>
        <v>81.050337676976071</v>
      </c>
      <c r="I68">
        <f t="shared" si="6"/>
        <v>15.565717350863263</v>
      </c>
      <c r="J68">
        <f t="shared" si="11"/>
        <v>99.492999708186346</v>
      </c>
      <c r="L68" s="13">
        <f t="shared" si="12"/>
        <v>46.392815342868339</v>
      </c>
      <c r="M68">
        <f t="shared" si="7"/>
        <v>161.45153240191794</v>
      </c>
    </row>
    <row r="69" spans="1:13">
      <c r="A69">
        <f t="shared" si="8"/>
        <v>6.25</v>
      </c>
      <c r="B69">
        <f>UnitHydrographs!E41</f>
        <v>15.185401822399868</v>
      </c>
      <c r="C69">
        <f t="shared" si="9"/>
        <v>7.4267832093183639</v>
      </c>
      <c r="E69">
        <f>UnitHydrographs!L41</f>
        <v>51.25497586527279</v>
      </c>
      <c r="F69">
        <f t="shared" si="10"/>
        <v>5.9507699868627695</v>
      </c>
      <c r="H69">
        <f>UnitHydrographs!R41</f>
        <v>62.998015351558053</v>
      </c>
      <c r="I69">
        <f t="shared" si="6"/>
        <v>12.098768848266731</v>
      </c>
      <c r="J69">
        <f t="shared" si="11"/>
        <v>76.353470608595288</v>
      </c>
      <c r="L69" s="13">
        <f t="shared" si="12"/>
        <v>33.965873492524558</v>
      </c>
      <c r="M69">
        <f t="shared" si="7"/>
        <v>122.41811294938657</v>
      </c>
    </row>
    <row r="70" spans="1:13">
      <c r="A70">
        <f t="shared" si="8"/>
        <v>6.5</v>
      </c>
      <c r="B70">
        <f>UnitHydrographs!E42</f>
        <v>11.417715158614898</v>
      </c>
      <c r="C70">
        <f t="shared" si="9"/>
        <v>5.3194310729848517</v>
      </c>
      <c r="E70">
        <f>UnitHydrographs!L42</f>
        <v>39.049320245693323</v>
      </c>
      <c r="F70">
        <f t="shared" si="10"/>
        <v>4.5206888713170628</v>
      </c>
      <c r="H70">
        <f>UnitHydrographs!R42</f>
        <v>49.098978860300079</v>
      </c>
      <c r="I70">
        <f t="shared" si="6"/>
        <v>9.4294588901206353</v>
      </c>
      <c r="J70">
        <f t="shared" si="11"/>
        <v>59.347280361935255</v>
      </c>
      <c r="L70" s="13">
        <f t="shared" si="12"/>
        <v>25.014704094505607</v>
      </c>
      <c r="M70">
        <f t="shared" si="7"/>
        <v>93.791443346561493</v>
      </c>
    </row>
    <row r="71" spans="1:13">
      <c r="A71">
        <f t="shared" si="8"/>
        <v>6.75</v>
      </c>
      <c r="B71">
        <f>UnitHydrographs!E43</f>
        <v>8.4575764293935833</v>
      </c>
      <c r="C71">
        <f t="shared" si="9"/>
        <v>3.9996142023476406</v>
      </c>
      <c r="E71">
        <f>UnitHydrographs!L43</f>
        <v>29.890986579700495</v>
      </c>
      <c r="F71">
        <f t="shared" si="10"/>
        <v>3.4441500456701535</v>
      </c>
      <c r="H71">
        <f>UnitHydrographs!R43</f>
        <v>38.228023737531849</v>
      </c>
      <c r="I71">
        <f t="shared" si="6"/>
        <v>7.3416919587929961</v>
      </c>
      <c r="J71">
        <f t="shared" si="11"/>
        <v>46.253693035345684</v>
      </c>
      <c r="L71" s="13">
        <f t="shared" si="12"/>
        <v>18.336946101174906</v>
      </c>
      <c r="M71">
        <f t="shared" si="7"/>
        <v>71.932331095313586</v>
      </c>
    </row>
    <row r="72" spans="1:13">
      <c r="A72">
        <f t="shared" si="8"/>
        <v>7</v>
      </c>
      <c r="B72">
        <f>UnitHydrographs!E44</f>
        <v>5.5786626278701261</v>
      </c>
      <c r="C72">
        <f t="shared" si="9"/>
        <v>2.9626805656401429</v>
      </c>
      <c r="E72">
        <f>UnitHydrographs!L44</f>
        <v>22.643029834534666</v>
      </c>
      <c r="F72">
        <f t="shared" si="10"/>
        <v>2.6363850163295854</v>
      </c>
      <c r="H72">
        <f>UnitHydrographs!R44</f>
        <v>29.578052625727466</v>
      </c>
      <c r="I72">
        <f t="shared" si="6"/>
        <v>5.6804650067709632</v>
      </c>
      <c r="J72">
        <f t="shared" si="11"/>
        <v>36.012709761941871</v>
      </c>
      <c r="L72" s="13">
        <f t="shared" si="12"/>
        <v>13.377553196181132</v>
      </c>
      <c r="M72">
        <f t="shared" si="7"/>
        <v>55.070727964893969</v>
      </c>
    </row>
    <row r="73" spans="1:13">
      <c r="A73">
        <f t="shared" si="8"/>
        <v>7.25</v>
      </c>
      <c r="B73">
        <f>UnitHydrographs!E45</f>
        <v>3.1118803535190298</v>
      </c>
      <c r="C73">
        <f t="shared" si="9"/>
        <v>1.9541999398802774</v>
      </c>
      <c r="E73">
        <f>UnitHydrographs!L45</f>
        <v>17.211618938399322</v>
      </c>
      <c r="F73">
        <f t="shared" si="10"/>
        <v>1.9971152314059588</v>
      </c>
      <c r="H73">
        <f>UnitHydrographs!R45</f>
        <v>23.013571780120916</v>
      </c>
      <c r="I73">
        <f t="shared" si="6"/>
        <v>4.4197564603722244</v>
      </c>
      <c r="J73">
        <f t="shared" si="11"/>
        <v>27.864004476066555</v>
      </c>
      <c r="L73" s="13">
        <f t="shared" si="12"/>
        <v>9.8401199443019145</v>
      </c>
      <c r="M73">
        <f t="shared" si="7"/>
        <v>42.1238808807407</v>
      </c>
    </row>
    <row r="74" spans="1:13">
      <c r="A74">
        <f t="shared" si="8"/>
        <v>7.5</v>
      </c>
      <c r="B74">
        <f>UnitHydrographs!E46</f>
        <v>0.6450980791679326</v>
      </c>
      <c r="C74">
        <f t="shared" si="9"/>
        <v>1.0900885759573626</v>
      </c>
      <c r="E74">
        <f>UnitHydrographs!L46</f>
        <v>13.432042855655116</v>
      </c>
      <c r="F74">
        <f t="shared" si="10"/>
        <v>1.5180647903668212</v>
      </c>
      <c r="H74">
        <f>UnitHydrographs!R46</f>
        <v>17.873074649083506</v>
      </c>
      <c r="I74">
        <f t="shared" si="6"/>
        <v>3.4325239863564891</v>
      </c>
      <c r="J74">
        <f t="shared" si="11"/>
        <v>21.679935295462904</v>
      </c>
      <c r="L74" s="13">
        <f t="shared" si="12"/>
        <v>7.4437642480177946</v>
      </c>
      <c r="M74">
        <f t="shared" si="7"/>
        <v>32.55622352983719</v>
      </c>
    </row>
    <row r="75" spans="1:13">
      <c r="A75">
        <f t="shared" si="8"/>
        <v>7.75</v>
      </c>
      <c r="B75">
        <f>UnitHydrographs!E47</f>
        <v>0</v>
      </c>
      <c r="C75">
        <f t="shared" si="9"/>
        <v>0.22597721203444765</v>
      </c>
      <c r="E75">
        <f>UnitHydrographs!L47</f>
        <v>10.768990720474143</v>
      </c>
      <c r="F75">
        <f t="shared" si="10"/>
        <v>1.1847061798687819</v>
      </c>
      <c r="H75">
        <f>UnitHydrographs!R47</f>
        <v>13.905767865345474</v>
      </c>
      <c r="I75">
        <f t="shared" si="6"/>
        <v>2.6706027185396</v>
      </c>
      <c r="J75">
        <f t="shared" si="11"/>
        <v>16.837329973169116</v>
      </c>
      <c r="L75" s="13">
        <f t="shared" si="12"/>
        <v>5.5990655819697288</v>
      </c>
      <c r="M75">
        <f t="shared" si="7"/>
        <v>25.106998273678446</v>
      </c>
    </row>
    <row r="76" spans="1:13">
      <c r="A76">
        <f t="shared" si="8"/>
        <v>8</v>
      </c>
      <c r="C76">
        <f>$C$48*B75</f>
        <v>0</v>
      </c>
      <c r="E76">
        <f>UnitHydrographs!L48</f>
        <v>8.1059385852931705</v>
      </c>
      <c r="F76">
        <f t="shared" si="10"/>
        <v>0.94982498154582007</v>
      </c>
      <c r="H76">
        <f>UnitHydrographs!R48</f>
        <v>11.014026631633895</v>
      </c>
      <c r="I76">
        <f t="shared" si="6"/>
        <v>2.1152438146052908</v>
      </c>
      <c r="J76">
        <f t="shared" si="11"/>
        <v>13.099928617548702</v>
      </c>
      <c r="L76" s="13">
        <f t="shared" si="12"/>
        <v>3.951315171286236</v>
      </c>
      <c r="M76">
        <f t="shared" si="7"/>
        <v>19.166487603440231</v>
      </c>
    </row>
    <row r="77" spans="1:13">
      <c r="A77">
        <f t="shared" ref="A77:A84" si="13">A76+0.25</f>
        <v>8.25</v>
      </c>
      <c r="E77">
        <f>UnitHydrographs!L49</f>
        <v>5.628186365206469</v>
      </c>
      <c r="F77">
        <f t="shared" si="10"/>
        <v>0.71494378322285812</v>
      </c>
      <c r="H77">
        <f>UnitHydrographs!R49</f>
        <v>9.044682377951931</v>
      </c>
      <c r="I77">
        <f t="shared" si="6"/>
        <v>1.7370312506856693</v>
      </c>
      <c r="J77">
        <f t="shared" si="11"/>
        <v>10.375763788330708</v>
      </c>
      <c r="L77" s="13">
        <f t="shared" si="12"/>
        <v>2.608153366324184</v>
      </c>
      <c r="M77">
        <f t="shared" si="7"/>
        <v>14.720948405340561</v>
      </c>
    </row>
    <row r="78" spans="1:13">
      <c r="A78">
        <f t="shared" si="13"/>
        <v>8.5</v>
      </c>
      <c r="E78">
        <f>UnitHydrographs!L50</f>
        <v>3.4089762525556582</v>
      </c>
      <c r="F78">
        <f t="shared" si="10"/>
        <v>0.49640603741121087</v>
      </c>
      <c r="H78">
        <f>UnitHydrographs!R50</f>
        <v>7.0753381242699662</v>
      </c>
      <c r="I78">
        <f t="shared" si="6"/>
        <v>1.3588186867660479</v>
      </c>
      <c r="J78">
        <f t="shared" si="11"/>
        <v>8.5205430341496147</v>
      </c>
      <c r="L78" s="13">
        <f t="shared" si="12"/>
        <v>1.4106833919032296</v>
      </c>
      <c r="M78">
        <f t="shared" si="7"/>
        <v>11.290045112818891</v>
      </c>
    </row>
    <row r="79" spans="1:13">
      <c r="A79">
        <f t="shared" si="13"/>
        <v>8.75</v>
      </c>
      <c r="E79">
        <f>UnitHydrographs!L51</f>
        <v>1.1897661399048465</v>
      </c>
      <c r="F79">
        <f t="shared" si="10"/>
        <v>0.30067170547540922</v>
      </c>
      <c r="H79">
        <f>UnitHydrographs!R51</f>
        <v>5.1337657569499591</v>
      </c>
      <c r="I79">
        <f t="shared" si="6"/>
        <v>0.9859397136222402</v>
      </c>
      <c r="J79">
        <f t="shared" si="11"/>
        <v>6.6653222799685201</v>
      </c>
      <c r="L79" s="13">
        <f t="shared" si="12"/>
        <v>0.94982498154582007</v>
      </c>
      <c r="M79">
        <f t="shared" si="7"/>
        <v>8.6010869751365799</v>
      </c>
    </row>
    <row r="80" spans="1:13">
      <c r="A80">
        <f t="shared" si="13"/>
        <v>9</v>
      </c>
      <c r="E80">
        <f>UnitHydrographs!L52</f>
        <v>0</v>
      </c>
      <c r="F80">
        <f t="shared" si="10"/>
        <v>0.10493737353960753</v>
      </c>
      <c r="H80">
        <f>UnitHydrographs!R52</f>
        <v>3.4926455455483216</v>
      </c>
      <c r="I80">
        <f t="shared" si="6"/>
        <v>0.6707625770225556</v>
      </c>
      <c r="J80">
        <f t="shared" si="11"/>
        <v>4.8362640313347081</v>
      </c>
      <c r="L80" s="13">
        <f t="shared" si="12"/>
        <v>0.71494378322285812</v>
      </c>
      <c r="M80">
        <f t="shared" si="7"/>
        <v>6.2219703915801219</v>
      </c>
    </row>
    <row r="81" spans="1:13">
      <c r="A81">
        <f t="shared" si="13"/>
        <v>9.25</v>
      </c>
      <c r="F81">
        <f t="shared" si="10"/>
        <v>0</v>
      </c>
      <c r="H81">
        <f>UnitHydrographs!R53</f>
        <v>1.8515253341466833</v>
      </c>
      <c r="I81">
        <f t="shared" si="6"/>
        <v>0.35558544042287071</v>
      </c>
      <c r="J81">
        <f t="shared" si="11"/>
        <v>3.2902467361837959</v>
      </c>
      <c r="L81" s="13">
        <f t="shared" si="12"/>
        <v>0.49640603741121087</v>
      </c>
      <c r="M81">
        <f t="shared" si="7"/>
        <v>4.1422382140178771</v>
      </c>
    </row>
    <row r="82" spans="1:13">
      <c r="A82">
        <f t="shared" si="13"/>
        <v>9.5</v>
      </c>
      <c r="H82">
        <f>UnitHydrographs!R54</f>
        <v>0.21040512274504586</v>
      </c>
      <c r="I82">
        <f t="shared" si="6"/>
        <v>4.0408303823186081E-2</v>
      </c>
      <c r="J82">
        <f t="shared" si="11"/>
        <v>1.7442294410328827</v>
      </c>
      <c r="L82" s="13">
        <f t="shared" si="12"/>
        <v>0.30067170547540922</v>
      </c>
      <c r="M82">
        <f t="shared" si="7"/>
        <v>2.085309450331478</v>
      </c>
    </row>
    <row r="83" spans="1:13">
      <c r="A83">
        <f t="shared" si="13"/>
        <v>9.75</v>
      </c>
      <c r="H83">
        <f>UnitHydrographs!R55</f>
        <v>0</v>
      </c>
      <c r="I83">
        <f t="shared" si="6"/>
        <v>0</v>
      </c>
      <c r="J83">
        <f t="shared" si="11"/>
        <v>0.19821214588197042</v>
      </c>
      <c r="L83" s="13">
        <f t="shared" si="12"/>
        <v>0.10493737353960753</v>
      </c>
      <c r="M83">
        <f t="shared" si="7"/>
        <v>0.30314951942157797</v>
      </c>
    </row>
    <row r="84" spans="1:13">
      <c r="A84">
        <f t="shared" si="13"/>
        <v>10</v>
      </c>
      <c r="J84">
        <f>H83*$J$48</f>
        <v>0</v>
      </c>
      <c r="L84" s="13">
        <f t="shared" si="12"/>
        <v>0</v>
      </c>
      <c r="M84">
        <f t="shared" si="7"/>
        <v>0</v>
      </c>
    </row>
    <row r="85" spans="1:13">
      <c r="L85" s="13"/>
    </row>
    <row r="86" spans="1:13">
      <c r="L86" s="13"/>
    </row>
    <row r="87" spans="1:13">
      <c r="L87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UnitHydrographs</vt:lpstr>
      <vt:lpstr>StdUH</vt:lpstr>
      <vt:lpstr>DesignHydrograph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dtarb</dc:creator>
  <cp:lastModifiedBy>Classroom</cp:lastModifiedBy>
  <dcterms:created xsi:type="dcterms:W3CDTF">2011-01-31T04:38:27Z</dcterms:created>
  <dcterms:modified xsi:type="dcterms:W3CDTF">2011-02-02T21:29:44Z</dcterms:modified>
</cp:coreProperties>
</file>